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2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drawings/drawing3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namedSheetViews/namedSheetView1.xml" ContentType="application/vnd.ms-excel.namedsheetviews+xml"/>
  <Override PartName="/xl/drawings/drawing4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ctrlProps/ctrlProp10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 codeName="{372AB895-14C1-FC20-EB20-F1B4BCFD95AE}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Marketing\Komunikacni mix\Web\nový web 2020\Výkony výpočet\KORALUX všechny mutace\"/>
    </mc:Choice>
  </mc:AlternateContent>
  <xr:revisionPtr revIDLastSave="0" documentId="13_ncr:1_{7D38B76C-707D-4CAD-A72A-7985E10A5F2A}" xr6:coauthVersionLast="47" xr6:coauthVersionMax="47" xr10:uidLastSave="{00000000-0000-0000-0000-000000000000}"/>
  <workbookProtection workbookAlgorithmName="SHA-512" workbookHashValue="WQEgFGAqGxoS2QHPCkNvTQ/Qdr/qbbX2pba6iXNadnVeL2VcCvptX/cM74yRvOHsTyunEfkFPaFgxipu39OGFg==" workbookSaltValue="NcKjgZ2/sZi6arMq5JbZxw==" workbookSpinCount="100000" lockStructure="1"/>
  <bookViews>
    <workbookView xWindow="-120" yWindow="-120" windowWidth="29040" windowHeight="15720" tabRatio="601" xr2:uid="{00000000-000D-0000-FFFF-FFFF00000000}"/>
  </bookViews>
  <sheets>
    <sheet name="KORADO" sheetId="1" r:id="rId1"/>
    <sheet name="Databáze" sheetId="10" state="hidden" r:id="rId2"/>
    <sheet name="výkony" sheetId="8" state="hidden" r:id="rId3"/>
    <sheet name="vstupy" sheetId="11" state="hidden" r:id="rId4"/>
    <sheet name="logic" sheetId="6" state="hidden" r:id="rId5"/>
  </sheets>
  <definedNames>
    <definedName name="barva">logic!$A$104</definedName>
    <definedName name="cmdNelze">logic!$S$45</definedName>
    <definedName name="cmdOK">logic!$K$24</definedName>
    <definedName name="cmdVlozit">logic!$R$45</definedName>
    <definedName name="cmdVymazat">logic!$U$45</definedName>
    <definedName name="cmdZrusit">logic!$Q$45</definedName>
    <definedName name="Chyba_dat">logic!$AC$24</definedName>
    <definedName name="jv">logic!$E$45</definedName>
    <definedName name="lblDelkaPopis">logic!$M$45</definedName>
    <definedName name="lblExportDatabaze">logic!$O$24</definedName>
    <definedName name="lblKodArtikluPopis">logic!$O$45</definedName>
    <definedName name="lblNadpis">logic!$I$45</definedName>
    <definedName name="lblPoznamka">logic!$P$45</definedName>
    <definedName name="lblPridatdoDB">logic!$I$24</definedName>
    <definedName name="lblTypPopis">logic!$K$45</definedName>
    <definedName name="lblVykonPopis">logic!$N$45</definedName>
    <definedName name="lblVymaz">logic!$W$45</definedName>
    <definedName name="lblVymazDatabaze">logic!$X$45</definedName>
    <definedName name="lblVyskaPopis">logic!$L$45</definedName>
    <definedName name="lblZapisProveden">logic!$T$45</definedName>
    <definedName name="lblZobrazitDatabazi">logic!$M$24</definedName>
    <definedName name="lblZpet">logic!$N$24</definedName>
    <definedName name="lblZpusobPripojeni">logic!$B$50</definedName>
    <definedName name="lblZpusobPripojeniPopis">logic!$U$4</definedName>
    <definedName name="linear_chrom_konec">KORADO!$C$49</definedName>
    <definedName name="linear_chrom_zacatek">KORADO!$C$43</definedName>
    <definedName name="linear_konec">KORADO!$C$42</definedName>
    <definedName name="linear_zacatek">KORADO!$C$13</definedName>
    <definedName name="model_cil">logic!$B$74</definedName>
    <definedName name="model_zdroj">logic!$A$74</definedName>
    <definedName name="_xlnm.Print_Titles" localSheetId="1">Databáze!$1:$6</definedName>
    <definedName name="_xlnm.Print_Titles" localSheetId="0">KORADO!$1:$10</definedName>
    <definedName name="_xlnm.Print_Area" localSheetId="1">Databáze!$A$1:$K$6</definedName>
    <definedName name="_xlnm.Print_Area" localSheetId="0">KORADO!$C$1:$N$80</definedName>
    <definedName name="_xlnm.Print_Area" localSheetId="3">vstupy!$B$1:$M$131</definedName>
    <definedName name="_xlnm.Print_Area" localSheetId="2">výkony!$B$12:$Z$80</definedName>
    <definedName name="OK">logic!$AD$24</definedName>
    <definedName name="pripojeni">logic!$A$50</definedName>
    <definedName name="provedeni">logic!$A$98</definedName>
    <definedName name="rondo_chrom_konec">KORADO!$C$79</definedName>
    <definedName name="rondo_chrom_zacatek">KORADO!$C$73</definedName>
    <definedName name="rondo_konec">KORADO!$C$72</definedName>
    <definedName name="rondo_zacatek">KORADO!$C$50</definedName>
    <definedName name="t_1">KORADO!$C$4</definedName>
    <definedName name="t_2">KORADO!$D$4</definedName>
    <definedName name="t_i">KORADO!$E$4</definedName>
    <definedName name="tb_kod">KORADO!$T$16</definedName>
    <definedName name="tb_vykon">KORADO!$D$16</definedName>
    <definedName name="typ_cil">logic!$I$74</definedName>
    <definedName name="typ_zdroj">logic!$F$74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46" i="6" l="1"/>
  <c r="N47" i="6"/>
  <c r="N48" i="6"/>
  <c r="N49" i="6"/>
  <c r="N50" i="6"/>
  <c r="N51" i="6"/>
  <c r="N52" i="6"/>
  <c r="N54" i="6"/>
  <c r="N55" i="6"/>
  <c r="AO7" i="8"/>
  <c r="AK7" i="8"/>
  <c r="BD5" i="8"/>
  <c r="AJ7" i="8"/>
  <c r="P8" i="8"/>
  <c r="AE5" i="8"/>
  <c r="R7" i="8"/>
  <c r="M7" i="8"/>
  <c r="B74" i="6" l="1"/>
  <c r="I90" i="6"/>
  <c r="E6" i="8" l="1"/>
  <c r="E5" i="8" s="1"/>
  <c r="D6" i="8"/>
  <c r="D5" i="8" s="1"/>
  <c r="C6" i="8"/>
  <c r="C5" i="8" s="1"/>
  <c r="A45" i="6"/>
  <c r="G24" i="6"/>
  <c r="G23" i="6"/>
  <c r="M64" i="6"/>
  <c r="B40" i="6" s="1"/>
  <c r="F8" i="8" l="1"/>
  <c r="D8" i="8"/>
  <c r="R4" i="8"/>
  <c r="AO5" i="8"/>
  <c r="R5" i="8"/>
  <c r="P5" i="8"/>
  <c r="AM5" i="8"/>
  <c r="Q3" i="8"/>
  <c r="AK5" i="8"/>
  <c r="P4" i="8"/>
  <c r="O3" i="8"/>
  <c r="F6" i="8"/>
  <c r="F52" i="1"/>
  <c r="I59" i="1"/>
  <c r="D59" i="1"/>
  <c r="E59" i="1"/>
  <c r="F59" i="1"/>
  <c r="G59" i="1"/>
  <c r="H59" i="1"/>
  <c r="J59" i="1"/>
  <c r="K59" i="1"/>
  <c r="L59" i="1"/>
  <c r="M59" i="1"/>
  <c r="D67" i="1"/>
  <c r="D52" i="1"/>
  <c r="E67" i="1"/>
  <c r="M52" i="1"/>
  <c r="F67" i="1"/>
  <c r="L52" i="1"/>
  <c r="G67" i="1"/>
  <c r="K52" i="1"/>
  <c r="H67" i="1"/>
  <c r="J52" i="1"/>
  <c r="I67" i="1"/>
  <c r="I52" i="1"/>
  <c r="J67" i="1"/>
  <c r="H52" i="1"/>
  <c r="K67" i="1"/>
  <c r="G52" i="1"/>
  <c r="L67" i="1"/>
  <c r="E52" i="1"/>
  <c r="M67" i="1"/>
  <c r="I30" i="1"/>
  <c r="J30" i="1"/>
  <c r="G15" i="1"/>
  <c r="K30" i="1"/>
  <c r="E15" i="1"/>
  <c r="D38" i="1"/>
  <c r="F38" i="1"/>
  <c r="H22" i="1"/>
  <c r="J39" i="1"/>
  <c r="G45" i="1"/>
  <c r="K22" i="1"/>
  <c r="F45" i="1"/>
  <c r="L22" i="1"/>
  <c r="E45" i="1"/>
  <c r="M22" i="1"/>
  <c r="D15" i="1"/>
  <c r="D30" i="1"/>
  <c r="M15" i="1"/>
  <c r="E30" i="1"/>
  <c r="L15" i="1"/>
  <c r="F30" i="1"/>
  <c r="K15" i="1"/>
  <c r="G30" i="1"/>
  <c r="J15" i="1"/>
  <c r="H30" i="1"/>
  <c r="I15" i="1"/>
  <c r="H15" i="1"/>
  <c r="F15" i="1"/>
  <c r="L30" i="1"/>
  <c r="M30" i="1"/>
  <c r="D22" i="1"/>
  <c r="E22" i="1"/>
  <c r="G38" i="1"/>
  <c r="F22" i="1"/>
  <c r="G22" i="1"/>
  <c r="E38" i="1"/>
  <c r="I22" i="1"/>
  <c r="L39" i="1"/>
  <c r="D45" i="1"/>
  <c r="J22" i="1"/>
  <c r="K39" i="1"/>
  <c r="G75" i="1"/>
  <c r="F75" i="1"/>
  <c r="E75" i="1"/>
  <c r="D75" i="1"/>
  <c r="C60" i="1"/>
  <c r="N60" i="1" s="1"/>
  <c r="C61" i="1"/>
  <c r="N61" i="1" s="1"/>
  <c r="C63" i="1"/>
  <c r="N63" i="1" s="1"/>
  <c r="C68" i="1"/>
  <c r="N68" i="1" s="1"/>
  <c r="C69" i="1"/>
  <c r="N69" i="1" s="1"/>
  <c r="C76" i="1"/>
  <c r="C78" i="1"/>
  <c r="C53" i="1"/>
  <c r="N53" i="1" s="1"/>
  <c r="C54" i="1"/>
  <c r="N54" i="1" s="1"/>
  <c r="C62" i="1"/>
  <c r="N62" i="1" s="1"/>
  <c r="C46" i="1"/>
  <c r="C48" i="1"/>
  <c r="C47" i="1"/>
  <c r="C70" i="1"/>
  <c r="N70" i="1" s="1"/>
  <c r="C71" i="1"/>
  <c r="N71" i="1" s="1"/>
  <c r="C77" i="1"/>
  <c r="C55" i="1"/>
  <c r="N55" i="1" s="1"/>
  <c r="O64" i="6"/>
  <c r="C31" i="1"/>
  <c r="N31" i="1" s="1"/>
  <c r="C32" i="1"/>
  <c r="N32" i="1" s="1"/>
  <c r="C33" i="1"/>
  <c r="N33" i="1" s="1"/>
  <c r="C34" i="1"/>
  <c r="N34" i="1" s="1"/>
  <c r="C39" i="1"/>
  <c r="C41" i="1"/>
  <c r="C40" i="1"/>
  <c r="I40" i="1"/>
  <c r="I41" i="1"/>
  <c r="C16" i="1"/>
  <c r="N16" i="1" s="1"/>
  <c r="C18" i="1"/>
  <c r="N18" i="1" s="1"/>
  <c r="C17" i="1"/>
  <c r="N17" i="1" s="1"/>
  <c r="C23" i="1"/>
  <c r="N23" i="1" s="1"/>
  <c r="C26" i="1"/>
  <c r="N26" i="1" s="1"/>
  <c r="C25" i="1"/>
  <c r="N25" i="1" s="1"/>
  <c r="C24" i="1"/>
  <c r="N24" i="1" s="1"/>
  <c r="B6" i="6"/>
  <c r="B10" i="6"/>
  <c r="B9" i="6"/>
  <c r="B8" i="6"/>
  <c r="B7" i="6"/>
  <c r="B16" i="6"/>
  <c r="B17" i="6"/>
  <c r="B18" i="6"/>
  <c r="B19" i="6"/>
  <c r="B20" i="6"/>
  <c r="B26" i="6"/>
  <c r="B27" i="6"/>
  <c r="B28" i="6"/>
  <c r="B29" i="6"/>
  <c r="B30" i="6"/>
  <c r="B36" i="6"/>
  <c r="B37" i="6"/>
  <c r="B38" i="6"/>
  <c r="B39" i="6"/>
  <c r="AQ5" i="8" l="1"/>
  <c r="AM7" i="8" s="1"/>
  <c r="AQ7" i="8" s="1"/>
  <c r="T3" i="8"/>
  <c r="P7" i="8" s="1"/>
  <c r="T7" i="8" s="1"/>
  <c r="Y38" i="1"/>
  <c r="N59" i="1"/>
  <c r="N52" i="1"/>
  <c r="N30" i="1"/>
  <c r="C30" i="1"/>
  <c r="C22" i="1"/>
  <c r="N15" i="1"/>
  <c r="C75" i="1"/>
  <c r="N67" i="1"/>
  <c r="N22" i="1"/>
  <c r="C15" i="1"/>
  <c r="C45" i="1"/>
  <c r="C67" i="1"/>
  <c r="C59" i="1"/>
  <c r="C52" i="1"/>
  <c r="I39" i="1"/>
  <c r="C38" i="1"/>
  <c r="N5" i="1"/>
  <c r="N4" i="1"/>
  <c r="D45" i="6" l="1"/>
  <c r="W41" i="1"/>
  <c r="W40" i="1"/>
  <c r="W39" i="1"/>
  <c r="V41" i="1"/>
  <c r="V40" i="1"/>
  <c r="V39" i="1"/>
  <c r="U41" i="1"/>
  <c r="U40" i="1"/>
  <c r="U39" i="1"/>
  <c r="T41" i="1"/>
  <c r="T40" i="1"/>
  <c r="T39" i="1"/>
  <c r="AA76" i="1"/>
  <c r="AB76" i="1"/>
  <c r="AC76" i="1"/>
  <c r="AA77" i="1"/>
  <c r="AB77" i="1"/>
  <c r="AC77" i="1"/>
  <c r="AA78" i="1"/>
  <c r="AB78" i="1"/>
  <c r="AC78" i="1"/>
  <c r="Z77" i="1"/>
  <c r="Z78" i="1"/>
  <c r="Z76" i="1"/>
  <c r="U76" i="1"/>
  <c r="V76" i="1"/>
  <c r="W76" i="1"/>
  <c r="U77" i="1"/>
  <c r="V77" i="1"/>
  <c r="W77" i="1"/>
  <c r="U78" i="1"/>
  <c r="V78" i="1"/>
  <c r="W78" i="1"/>
  <c r="T77" i="1"/>
  <c r="T78" i="1"/>
  <c r="T76" i="1"/>
  <c r="Z68" i="1"/>
  <c r="AA68" i="1"/>
  <c r="AB68" i="1"/>
  <c r="AC68" i="1"/>
  <c r="Z69" i="1"/>
  <c r="AA69" i="1"/>
  <c r="AB69" i="1"/>
  <c r="AC69" i="1"/>
  <c r="Z70" i="1"/>
  <c r="AA70" i="1"/>
  <c r="AB70" i="1"/>
  <c r="AC70" i="1"/>
  <c r="Z71" i="1"/>
  <c r="AA71" i="1"/>
  <c r="AB71" i="1"/>
  <c r="AC71" i="1"/>
  <c r="Y69" i="1"/>
  <c r="Y70" i="1"/>
  <c r="Y71" i="1"/>
  <c r="Y68" i="1"/>
  <c r="U68" i="1"/>
  <c r="V68" i="1"/>
  <c r="W68" i="1"/>
  <c r="X68" i="1"/>
  <c r="U69" i="1"/>
  <c r="V69" i="1"/>
  <c r="W69" i="1"/>
  <c r="X69" i="1"/>
  <c r="U70" i="1"/>
  <c r="V70" i="1"/>
  <c r="W70" i="1"/>
  <c r="X70" i="1"/>
  <c r="U71" i="1"/>
  <c r="V71" i="1"/>
  <c r="W71" i="1"/>
  <c r="X71" i="1"/>
  <c r="T69" i="1"/>
  <c r="T70" i="1"/>
  <c r="T71" i="1"/>
  <c r="T68" i="1"/>
  <c r="Z60" i="1"/>
  <c r="AA60" i="1"/>
  <c r="AB60" i="1"/>
  <c r="AC60" i="1"/>
  <c r="Z61" i="1"/>
  <c r="AA61" i="1"/>
  <c r="AB61" i="1"/>
  <c r="AC61" i="1"/>
  <c r="Z62" i="1"/>
  <c r="AA62" i="1"/>
  <c r="AB62" i="1"/>
  <c r="AC62" i="1"/>
  <c r="Z63" i="1"/>
  <c r="AA63" i="1"/>
  <c r="AB63" i="1"/>
  <c r="AC63" i="1"/>
  <c r="Y61" i="1"/>
  <c r="Y62" i="1"/>
  <c r="Y63" i="1"/>
  <c r="Y60" i="1"/>
  <c r="U60" i="1"/>
  <c r="V60" i="1"/>
  <c r="W60" i="1"/>
  <c r="X60" i="1"/>
  <c r="U61" i="1"/>
  <c r="V61" i="1"/>
  <c r="W61" i="1"/>
  <c r="X61" i="1"/>
  <c r="U62" i="1"/>
  <c r="V62" i="1"/>
  <c r="W62" i="1"/>
  <c r="X62" i="1"/>
  <c r="U63" i="1"/>
  <c r="V63" i="1"/>
  <c r="W63" i="1"/>
  <c r="X63" i="1"/>
  <c r="T61" i="1"/>
  <c r="T62" i="1"/>
  <c r="T63" i="1"/>
  <c r="T60" i="1"/>
  <c r="Z53" i="1"/>
  <c r="AA53" i="1"/>
  <c r="AB53" i="1"/>
  <c r="AC53" i="1"/>
  <c r="Z54" i="1"/>
  <c r="AA54" i="1"/>
  <c r="AB54" i="1"/>
  <c r="AC54" i="1"/>
  <c r="Z55" i="1"/>
  <c r="AA55" i="1"/>
  <c r="AB55" i="1"/>
  <c r="AC55" i="1"/>
  <c r="Y54" i="1"/>
  <c r="Y55" i="1"/>
  <c r="Y53" i="1"/>
  <c r="U53" i="1"/>
  <c r="V53" i="1"/>
  <c r="W53" i="1"/>
  <c r="X53" i="1"/>
  <c r="U54" i="1"/>
  <c r="V54" i="1"/>
  <c r="W54" i="1"/>
  <c r="X54" i="1"/>
  <c r="U55" i="1"/>
  <c r="V55" i="1"/>
  <c r="W55" i="1"/>
  <c r="X55" i="1"/>
  <c r="T54" i="1"/>
  <c r="T55" i="1"/>
  <c r="T53" i="1"/>
  <c r="Z31" i="1"/>
  <c r="AA31" i="1"/>
  <c r="AB31" i="1"/>
  <c r="AC31" i="1"/>
  <c r="Z32" i="1"/>
  <c r="AA32" i="1"/>
  <c r="AB32" i="1"/>
  <c r="AC32" i="1"/>
  <c r="Z33" i="1"/>
  <c r="AA33" i="1"/>
  <c r="AB33" i="1"/>
  <c r="AC33" i="1"/>
  <c r="Z34" i="1"/>
  <c r="AA34" i="1"/>
  <c r="AB34" i="1"/>
  <c r="AC34" i="1"/>
  <c r="Y32" i="1"/>
  <c r="Y33" i="1"/>
  <c r="Y34" i="1"/>
  <c r="Y31" i="1"/>
  <c r="U31" i="1"/>
  <c r="V31" i="1"/>
  <c r="W31" i="1"/>
  <c r="X31" i="1"/>
  <c r="U32" i="1"/>
  <c r="V32" i="1"/>
  <c r="W32" i="1"/>
  <c r="X32" i="1"/>
  <c r="U33" i="1"/>
  <c r="V33" i="1"/>
  <c r="W33" i="1"/>
  <c r="X33" i="1"/>
  <c r="U34" i="1"/>
  <c r="V34" i="1"/>
  <c r="W34" i="1"/>
  <c r="X34" i="1"/>
  <c r="T32" i="1"/>
  <c r="T33" i="1"/>
  <c r="T34" i="1"/>
  <c r="T31" i="1"/>
  <c r="Z23" i="1"/>
  <c r="AA23" i="1"/>
  <c r="AB23" i="1"/>
  <c r="AC23" i="1"/>
  <c r="Z24" i="1"/>
  <c r="AA24" i="1"/>
  <c r="AB24" i="1"/>
  <c r="AC24" i="1"/>
  <c r="Z25" i="1"/>
  <c r="AA25" i="1"/>
  <c r="AB25" i="1"/>
  <c r="AC25" i="1"/>
  <c r="Z26" i="1"/>
  <c r="AA26" i="1"/>
  <c r="AB26" i="1"/>
  <c r="AC26" i="1"/>
  <c r="Y24" i="1"/>
  <c r="Y25" i="1"/>
  <c r="Y26" i="1"/>
  <c r="Y23" i="1"/>
  <c r="U23" i="1"/>
  <c r="V23" i="1"/>
  <c r="W23" i="1"/>
  <c r="X23" i="1"/>
  <c r="U24" i="1"/>
  <c r="V24" i="1"/>
  <c r="W24" i="1"/>
  <c r="X24" i="1"/>
  <c r="U25" i="1"/>
  <c r="V25" i="1"/>
  <c r="W25" i="1"/>
  <c r="X25" i="1"/>
  <c r="U26" i="1"/>
  <c r="V26" i="1"/>
  <c r="W26" i="1"/>
  <c r="X26" i="1"/>
  <c r="T24" i="1"/>
  <c r="T25" i="1"/>
  <c r="T26" i="1"/>
  <c r="T23" i="1"/>
  <c r="Z16" i="1"/>
  <c r="AA16" i="1"/>
  <c r="AB16" i="1"/>
  <c r="AC16" i="1"/>
  <c r="Z17" i="1"/>
  <c r="AA17" i="1"/>
  <c r="AB17" i="1"/>
  <c r="AC17" i="1"/>
  <c r="Z18" i="1"/>
  <c r="AA18" i="1"/>
  <c r="AB18" i="1"/>
  <c r="AC18" i="1"/>
  <c r="Y17" i="1"/>
  <c r="Y18" i="1"/>
  <c r="Y16" i="1"/>
  <c r="U16" i="1"/>
  <c r="V16" i="1"/>
  <c r="W16" i="1"/>
  <c r="X16" i="1"/>
  <c r="U17" i="1"/>
  <c r="V17" i="1"/>
  <c r="W17" i="1"/>
  <c r="X17" i="1"/>
  <c r="U18" i="1"/>
  <c r="V18" i="1"/>
  <c r="W18" i="1"/>
  <c r="X18" i="1"/>
  <c r="T17" i="1"/>
  <c r="T18" i="1"/>
  <c r="T16" i="1"/>
  <c r="C54" i="11"/>
  <c r="D54" i="11"/>
  <c r="E54" i="11"/>
  <c r="F54" i="11"/>
  <c r="G54" i="11"/>
  <c r="H54" i="11"/>
  <c r="I54" i="11"/>
  <c r="J54" i="11"/>
  <c r="K54" i="11"/>
  <c r="L54" i="11"/>
  <c r="C128" i="11"/>
  <c r="L130" i="11"/>
  <c r="K130" i="11"/>
  <c r="J130" i="11"/>
  <c r="I130" i="11"/>
  <c r="H130" i="11"/>
  <c r="G130" i="11"/>
  <c r="F130" i="11"/>
  <c r="E130" i="11"/>
  <c r="D130" i="11"/>
  <c r="C130" i="11"/>
  <c r="L129" i="11"/>
  <c r="K129" i="11"/>
  <c r="J129" i="11"/>
  <c r="I129" i="11"/>
  <c r="H129" i="11"/>
  <c r="G129" i="11"/>
  <c r="F129" i="11"/>
  <c r="E129" i="11"/>
  <c r="D129" i="11"/>
  <c r="C129" i="11"/>
  <c r="L128" i="11"/>
  <c r="K128" i="11"/>
  <c r="J128" i="11"/>
  <c r="I128" i="11"/>
  <c r="H128" i="11"/>
  <c r="G128" i="11"/>
  <c r="F128" i="11"/>
  <c r="E128" i="11"/>
  <c r="D128" i="11"/>
  <c r="L127" i="11"/>
  <c r="K127" i="11"/>
  <c r="J127" i="11"/>
  <c r="I127" i="11"/>
  <c r="H127" i="11"/>
  <c r="G127" i="11"/>
  <c r="F127" i="11"/>
  <c r="E127" i="11"/>
  <c r="D127" i="11"/>
  <c r="C127" i="11"/>
  <c r="L122" i="11"/>
  <c r="K122" i="11"/>
  <c r="J122" i="11"/>
  <c r="I122" i="11"/>
  <c r="H122" i="11"/>
  <c r="G122" i="11"/>
  <c r="F122" i="11"/>
  <c r="E122" i="11"/>
  <c r="D122" i="11"/>
  <c r="C122" i="11"/>
  <c r="L121" i="11"/>
  <c r="K121" i="11"/>
  <c r="J121" i="11"/>
  <c r="I121" i="11"/>
  <c r="H121" i="11"/>
  <c r="G121" i="11"/>
  <c r="F121" i="11"/>
  <c r="E121" i="11"/>
  <c r="D121" i="11"/>
  <c r="C121" i="11"/>
  <c r="L120" i="11"/>
  <c r="K120" i="11"/>
  <c r="J120" i="11"/>
  <c r="I120" i="11"/>
  <c r="H120" i="11"/>
  <c r="G120" i="11"/>
  <c r="F120" i="11"/>
  <c r="E120" i="11"/>
  <c r="D120" i="11"/>
  <c r="C120" i="11"/>
  <c r="L119" i="11"/>
  <c r="K119" i="11"/>
  <c r="J119" i="11"/>
  <c r="I119" i="11"/>
  <c r="H119" i="11"/>
  <c r="G119" i="11"/>
  <c r="F119" i="11"/>
  <c r="E119" i="11"/>
  <c r="D119" i="11"/>
  <c r="C119" i="11"/>
  <c r="L56" i="11"/>
  <c r="K56" i="11"/>
  <c r="J56" i="11"/>
  <c r="I56" i="11"/>
  <c r="H56" i="11"/>
  <c r="G56" i="11"/>
  <c r="F56" i="11"/>
  <c r="E56" i="11"/>
  <c r="D56" i="11"/>
  <c r="C56" i="11"/>
  <c r="L55" i="11"/>
  <c r="K55" i="11"/>
  <c r="J55" i="11"/>
  <c r="I55" i="11"/>
  <c r="H55" i="11"/>
  <c r="G55" i="11"/>
  <c r="F55" i="11"/>
  <c r="E55" i="11"/>
  <c r="D55" i="11"/>
  <c r="C55" i="11"/>
  <c r="L53" i="11"/>
  <c r="K53" i="11"/>
  <c r="J53" i="11"/>
  <c r="I53" i="11"/>
  <c r="H53" i="11"/>
  <c r="G53" i="11"/>
  <c r="F53" i="11"/>
  <c r="E53" i="11"/>
  <c r="D53" i="11"/>
  <c r="C53" i="11"/>
  <c r="L48" i="11"/>
  <c r="K48" i="11"/>
  <c r="J48" i="11"/>
  <c r="I48" i="11"/>
  <c r="H48" i="11"/>
  <c r="G48" i="11"/>
  <c r="F48" i="11"/>
  <c r="E48" i="11"/>
  <c r="D48" i="11"/>
  <c r="C48" i="11"/>
  <c r="L47" i="11"/>
  <c r="K47" i="11"/>
  <c r="J47" i="11"/>
  <c r="I47" i="11"/>
  <c r="H47" i="11"/>
  <c r="G47" i="11"/>
  <c r="F47" i="11"/>
  <c r="E47" i="11"/>
  <c r="D47" i="11"/>
  <c r="C47" i="11"/>
  <c r="L46" i="11"/>
  <c r="K46" i="11"/>
  <c r="J46" i="11"/>
  <c r="I46" i="11"/>
  <c r="H46" i="11"/>
  <c r="G46" i="11"/>
  <c r="F46" i="11"/>
  <c r="E46" i="11"/>
  <c r="D46" i="11"/>
  <c r="C46" i="11"/>
  <c r="L45" i="11"/>
  <c r="K45" i="11"/>
  <c r="J45" i="11"/>
  <c r="I45" i="11"/>
  <c r="H45" i="11"/>
  <c r="G45" i="11"/>
  <c r="F45" i="11"/>
  <c r="E45" i="11"/>
  <c r="D45" i="11"/>
  <c r="C45" i="11"/>
  <c r="E98" i="6" l="1"/>
  <c r="B98" i="6" l="1"/>
  <c r="C8" i="1" s="1"/>
  <c r="I76" i="6" l="1"/>
  <c r="I77" i="6"/>
  <c r="I78" i="6"/>
  <c r="I79" i="6"/>
  <c r="I80" i="6"/>
  <c r="I81" i="6"/>
  <c r="I82" i="6"/>
  <c r="I83" i="6"/>
  <c r="I84" i="6"/>
  <c r="I85" i="6"/>
  <c r="I86" i="6"/>
  <c r="I87" i="6"/>
  <c r="I88" i="6"/>
  <c r="I89" i="6"/>
  <c r="I75" i="6"/>
  <c r="E66" i="6" l="1"/>
  <c r="G45" i="6" l="1"/>
  <c r="F5" i="8" l="1"/>
  <c r="C45" i="6"/>
  <c r="B45" i="6"/>
  <c r="E45" i="6" s="1"/>
  <c r="I5" i="8" l="1"/>
  <c r="J25" i="8" s="1"/>
  <c r="N3" i="1"/>
  <c r="H5" i="8"/>
  <c r="H3" i="6"/>
  <c r="H4" i="6" s="1"/>
  <c r="F4" i="1"/>
  <c r="AF62" i="8" l="1"/>
  <c r="AG33" i="8"/>
  <c r="AH34" i="8"/>
  <c r="AG55" i="8"/>
  <c r="AG27" i="8"/>
  <c r="AJ64" i="8"/>
  <c r="AU27" i="8"/>
  <c r="AL18" i="8"/>
  <c r="AS61" i="8"/>
  <c r="AG49" i="8"/>
  <c r="AF61" i="8"/>
  <c r="AM69" i="8"/>
  <c r="AL32" i="8"/>
  <c r="AJ32" i="8"/>
  <c r="AU19" i="8"/>
  <c r="AT41" i="8"/>
  <c r="AH56" i="8"/>
  <c r="AG69" i="8"/>
  <c r="AM61" i="8"/>
  <c r="AU34" i="8"/>
  <c r="AG47" i="8"/>
  <c r="AT32" i="8"/>
  <c r="AF19" i="8"/>
  <c r="AM62" i="8"/>
  <c r="AM17" i="8"/>
  <c r="AI27" i="8"/>
  <c r="AF42" i="8"/>
  <c r="AM25" i="8"/>
  <c r="AD18" i="8"/>
  <c r="AD47" i="8"/>
  <c r="AT64" i="8"/>
  <c r="AS27" i="8"/>
  <c r="AM64" i="8"/>
  <c r="AJ63" i="8"/>
  <c r="AH63" i="8"/>
  <c r="AR34" i="8"/>
  <c r="AF33" i="8"/>
  <c r="AI69" i="8"/>
  <c r="AF71" i="8"/>
  <c r="AL72" i="8"/>
  <c r="AS42" i="8"/>
  <c r="AH62" i="8"/>
  <c r="AE41" i="8"/>
  <c r="AR69" i="8"/>
  <c r="AS62" i="8"/>
  <c r="AF49" i="8"/>
  <c r="AE72" i="8"/>
  <c r="AF78" i="8"/>
  <c r="AM19" i="8"/>
  <c r="AF55" i="8"/>
  <c r="AD61" i="8"/>
  <c r="AT35" i="8"/>
  <c r="AT26" i="8"/>
  <c r="AI72" i="8"/>
  <c r="AS54" i="8"/>
  <c r="AU56" i="8"/>
  <c r="AL69" i="8"/>
  <c r="AR18" i="8"/>
  <c r="AQ40" i="8"/>
  <c r="AL70" i="8"/>
  <c r="AR55" i="8"/>
  <c r="AE26" i="8"/>
  <c r="AS70" i="8"/>
  <c r="AE61" i="8"/>
  <c r="AF63" i="8"/>
  <c r="AF56" i="8"/>
  <c r="AD62" i="8"/>
  <c r="AM71" i="8"/>
  <c r="AF34" i="8"/>
  <c r="AI19" i="8"/>
  <c r="AF25" i="8"/>
  <c r="AR27" i="8"/>
  <c r="AS64" i="8"/>
  <c r="AF77" i="8"/>
  <c r="AG79" i="8"/>
  <c r="AT72" i="8"/>
  <c r="AR72" i="8"/>
  <c r="AH54" i="8"/>
  <c r="AG26" i="8"/>
  <c r="AR56" i="8"/>
  <c r="AD78" i="8"/>
  <c r="AR62" i="8"/>
  <c r="AD34" i="8"/>
  <c r="AK27" i="8"/>
  <c r="AH25" i="8"/>
  <c r="AF26" i="8"/>
  <c r="AD77" i="8"/>
  <c r="AH19" i="8"/>
  <c r="AU18" i="8"/>
  <c r="AK62" i="8"/>
  <c r="AI33" i="8"/>
  <c r="AR26" i="8"/>
  <c r="AU25" i="8"/>
  <c r="AE27" i="8"/>
  <c r="AM26" i="8"/>
  <c r="AK69" i="8"/>
  <c r="AG32" i="8"/>
  <c r="AD71" i="8"/>
  <c r="AR24" i="8"/>
  <c r="AR70" i="8"/>
  <c r="AF41" i="8"/>
  <c r="AJ27" i="8"/>
  <c r="AT69" i="8"/>
  <c r="AS40" i="8"/>
  <c r="AG19" i="8"/>
  <c r="AG70" i="8"/>
  <c r="AJ26" i="8"/>
  <c r="AD64" i="8"/>
  <c r="AQ41" i="8"/>
  <c r="AU54" i="8"/>
  <c r="AH35" i="8"/>
  <c r="AF35" i="8"/>
  <c r="AU70" i="8"/>
  <c r="AD42" i="8"/>
  <c r="AT24" i="8"/>
  <c r="AR32" i="8"/>
  <c r="AS71" i="8"/>
  <c r="AD56" i="8"/>
  <c r="AJ25" i="8"/>
  <c r="AL63" i="8"/>
  <c r="AU26" i="8"/>
  <c r="AG72" i="8"/>
  <c r="AS41" i="8"/>
  <c r="AE47" i="8"/>
  <c r="AL64" i="8"/>
  <c r="AJ35" i="8"/>
  <c r="AT18" i="8"/>
  <c r="AU63" i="8"/>
  <c r="AS17" i="8"/>
  <c r="AQ69" i="8"/>
  <c r="AH64" i="8"/>
  <c r="AJ62" i="8"/>
  <c r="AJ33" i="8"/>
  <c r="AI25" i="8"/>
  <c r="AK24" i="8"/>
  <c r="AS25" i="8"/>
  <c r="AJ24" i="8"/>
  <c r="AE69" i="8"/>
  <c r="AS56" i="8"/>
  <c r="AJ55" i="8"/>
  <c r="AG48" i="8"/>
  <c r="AD24" i="8"/>
  <c r="AF40" i="8"/>
  <c r="AD32" i="8"/>
  <c r="AI32" i="8"/>
  <c r="AL41" i="8"/>
  <c r="AK26" i="8"/>
  <c r="AD35" i="8"/>
  <c r="AD25" i="8"/>
  <c r="AD40" i="8"/>
  <c r="AG42" i="8"/>
  <c r="AL42" i="8"/>
  <c r="AR35" i="8"/>
  <c r="AQ24" i="8"/>
  <c r="AU55" i="8"/>
  <c r="AT42" i="8"/>
  <c r="AD79" i="8"/>
  <c r="AU62" i="8"/>
  <c r="AM18" i="8"/>
  <c r="AT33" i="8"/>
  <c r="AD70" i="8"/>
  <c r="AH55" i="8"/>
  <c r="AG25" i="8"/>
  <c r="AI54" i="8"/>
  <c r="AF54" i="8"/>
  <c r="AM56" i="8"/>
  <c r="AK56" i="8"/>
  <c r="AI56" i="8"/>
  <c r="AE33" i="8"/>
  <c r="AT71" i="8"/>
  <c r="AQ32" i="8"/>
  <c r="AM27" i="8"/>
  <c r="AS55" i="8"/>
  <c r="AF48" i="8"/>
  <c r="AR71" i="8"/>
  <c r="AM35" i="8"/>
  <c r="AK54" i="8"/>
  <c r="AJ42" i="8"/>
  <c r="AH71" i="8"/>
  <c r="AT25" i="8"/>
  <c r="AF24" i="8"/>
  <c r="AM34" i="8"/>
  <c r="AF32" i="8"/>
  <c r="AS72" i="8"/>
  <c r="AL54" i="8"/>
  <c r="AT56" i="8"/>
  <c r="AF69" i="8"/>
  <c r="AS32" i="8"/>
  <c r="AU17" i="8"/>
  <c r="AE77" i="8"/>
  <c r="AD54" i="8"/>
  <c r="AQ26" i="8"/>
  <c r="AG64" i="8"/>
  <c r="AR41" i="8"/>
  <c r="AS24" i="8"/>
  <c r="AR33" i="8"/>
  <c r="AG62" i="8"/>
  <c r="AR40" i="8"/>
  <c r="AT27" i="8"/>
  <c r="AM63" i="8"/>
  <c r="AF70" i="8"/>
  <c r="AG34" i="8"/>
  <c r="AK18" i="8"/>
  <c r="AJ72" i="8"/>
  <c r="AM24" i="8"/>
  <c r="AT54" i="8"/>
  <c r="AG56" i="8"/>
  <c r="AM72" i="8"/>
  <c r="AI70" i="8"/>
  <c r="AG41" i="8"/>
  <c r="AH26" i="8"/>
  <c r="AH27" i="8"/>
  <c r="AI62" i="8"/>
  <c r="AE70" i="8"/>
  <c r="AG35" i="8"/>
  <c r="AU35" i="8"/>
  <c r="AL71" i="8"/>
  <c r="AG71" i="8"/>
  <c r="AG78" i="8"/>
  <c r="AL25" i="8"/>
  <c r="AE64" i="8"/>
  <c r="AH24" i="8"/>
  <c r="AU24" i="8"/>
  <c r="AT55" i="8"/>
  <c r="AT34" i="8"/>
  <c r="AM55" i="8"/>
  <c r="AG77" i="8"/>
  <c r="AL26" i="8"/>
  <c r="AK35" i="8"/>
  <c r="AS33" i="8"/>
  <c r="AE48" i="8"/>
  <c r="AM70" i="8"/>
  <c r="AL34" i="8"/>
  <c r="AK42" i="8"/>
  <c r="AJ41" i="8"/>
  <c r="AJ18" i="8"/>
  <c r="AU69" i="8"/>
  <c r="AI55" i="8"/>
  <c r="AU64" i="8"/>
  <c r="AF27" i="8"/>
  <c r="AE71" i="8"/>
  <c r="AF18" i="8"/>
  <c r="AG40" i="8"/>
  <c r="AS19" i="8"/>
  <c r="AE79" i="8"/>
  <c r="AU32" i="8"/>
  <c r="AL35" i="8"/>
  <c r="AL61" i="8"/>
  <c r="AE42" i="8"/>
  <c r="AT40" i="8"/>
  <c r="AT70" i="8"/>
  <c r="AR42" i="8"/>
  <c r="AM33" i="8"/>
  <c r="AL17" i="8"/>
  <c r="AT17" i="8"/>
  <c r="AR63" i="8"/>
  <c r="AE62" i="8"/>
  <c r="AS26" i="8"/>
  <c r="AE35" i="8"/>
  <c r="AE56" i="8"/>
  <c r="AQ54" i="8"/>
  <c r="AJ70" i="8"/>
  <c r="AJ71" i="8"/>
  <c r="AU72" i="8"/>
  <c r="AQ72" i="8"/>
  <c r="AQ19" i="8"/>
  <c r="AD27" i="8"/>
  <c r="AT63" i="8"/>
  <c r="AG61" i="8"/>
  <c r="AM32" i="8"/>
  <c r="AS18" i="8"/>
  <c r="AQ27" i="8"/>
  <c r="AE40" i="8"/>
  <c r="AR61" i="8"/>
  <c r="AG54" i="8"/>
  <c r="AE54" i="8"/>
  <c r="AL56" i="8"/>
  <c r="AD63" i="8"/>
  <c r="AQ25" i="8"/>
  <c r="AQ56" i="8"/>
  <c r="AL33" i="8"/>
  <c r="AK72" i="8"/>
  <c r="AH69" i="8"/>
  <c r="AQ71" i="8"/>
  <c r="AL27" i="8"/>
  <c r="AQ55" i="8"/>
  <c r="AE34" i="8"/>
  <c r="AJ61" i="8"/>
  <c r="AT19" i="8"/>
  <c r="AF47" i="8"/>
  <c r="AR19" i="8"/>
  <c r="AQ34" i="8"/>
  <c r="AF79" i="8"/>
  <c r="AK34" i="8"/>
  <c r="AQ61" i="8"/>
  <c r="AR25" i="8"/>
  <c r="AS69" i="8"/>
  <c r="AK64" i="8"/>
  <c r="AD69" i="8"/>
  <c r="AT61" i="8"/>
  <c r="AT62" i="8"/>
  <c r="AG17" i="8"/>
  <c r="AE55" i="8"/>
  <c r="AK32" i="8"/>
  <c r="AQ33" i="8"/>
  <c r="AS35" i="8"/>
  <c r="AI34" i="8"/>
  <c r="AJ34" i="8"/>
  <c r="AJ56" i="8"/>
  <c r="AE18" i="8"/>
  <c r="AD48" i="8"/>
  <c r="AQ64" i="8"/>
  <c r="AI63" i="8"/>
  <c r="AG63" i="8"/>
  <c r="AE63" i="8"/>
  <c r="AL24" i="8"/>
  <c r="AU61" i="8"/>
  <c r="AS63" i="8"/>
  <c r="AQ63" i="8"/>
  <c r="AM54" i="8"/>
  <c r="AK70" i="8"/>
  <c r="AQ18" i="8"/>
  <c r="AE24" i="8"/>
  <c r="AD41" i="8"/>
  <c r="AQ62" i="8"/>
  <c r="AH32" i="8"/>
  <c r="AK25" i="8"/>
  <c r="AD49" i="8"/>
  <c r="AR17" i="8"/>
  <c r="AK61" i="8"/>
  <c r="AI71" i="8"/>
  <c r="AR64" i="8"/>
  <c r="AS34" i="8"/>
  <c r="AK33" i="8"/>
  <c r="AK17" i="8"/>
  <c r="AR54" i="8"/>
  <c r="AI64" i="8"/>
  <c r="AH33" i="8"/>
  <c r="AE78" i="8"/>
  <c r="AI17" i="8"/>
  <c r="AI24" i="8"/>
  <c r="AL62" i="8"/>
  <c r="AK55" i="8"/>
  <c r="AI26" i="8"/>
  <c r="AI35" i="8"/>
  <c r="AI61" i="8"/>
  <c r="AD33" i="8"/>
  <c r="AK41" i="8"/>
  <c r="AF17" i="8"/>
  <c r="AQ42" i="8"/>
  <c r="AU33" i="8"/>
  <c r="AE49" i="8"/>
  <c r="AD55" i="8"/>
  <c r="AK63" i="8"/>
  <c r="AE17" i="8"/>
  <c r="AK71" i="8"/>
  <c r="AH61" i="8"/>
  <c r="AH70" i="8"/>
  <c r="AE25" i="8"/>
  <c r="AJ69" i="8"/>
  <c r="AH72" i="8"/>
  <c r="AF72" i="8"/>
  <c r="AD72" i="8"/>
  <c r="AJ54" i="8"/>
  <c r="AU71" i="8"/>
  <c r="AG24" i="8"/>
  <c r="AE32" i="8"/>
  <c r="AL55" i="8"/>
  <c r="AQ17" i="8"/>
  <c r="AQ35" i="8"/>
  <c r="AD26" i="8"/>
  <c r="AF64" i="8"/>
  <c r="AQ70" i="8"/>
  <c r="AJ17" i="8"/>
  <c r="AI18" i="8"/>
  <c r="AL19" i="8"/>
  <c r="AE19" i="8"/>
  <c r="AH18" i="8"/>
  <c r="AK19" i="8"/>
  <c r="AD19" i="8"/>
  <c r="AH17" i="8"/>
  <c r="AG18" i="8"/>
  <c r="AJ19" i="8"/>
  <c r="AD17" i="8"/>
  <c r="K42" i="8"/>
  <c r="I42" i="8"/>
  <c r="I41" i="8"/>
  <c r="J41" i="8"/>
  <c r="K41" i="8"/>
  <c r="J42" i="8"/>
  <c r="L69" i="8"/>
  <c r="E71" i="8"/>
  <c r="I33" i="8"/>
  <c r="E33" i="8"/>
  <c r="T71" i="8"/>
  <c r="I34" i="8"/>
  <c r="S33" i="8"/>
  <c r="G71" i="8"/>
  <c r="L71" i="8"/>
  <c r="P71" i="8"/>
  <c r="P33" i="8"/>
  <c r="R33" i="8"/>
  <c r="Q34" i="8"/>
  <c r="S71" i="8"/>
  <c r="S70" i="8"/>
  <c r="G34" i="8"/>
  <c r="L70" i="8"/>
  <c r="C71" i="8"/>
  <c r="I71" i="8"/>
  <c r="J34" i="8"/>
  <c r="Q71" i="8"/>
  <c r="D33" i="8"/>
  <c r="H33" i="8"/>
  <c r="P34" i="8"/>
  <c r="D70" i="8"/>
  <c r="F70" i="8"/>
  <c r="D71" i="8"/>
  <c r="L34" i="8"/>
  <c r="R34" i="8"/>
  <c r="F33" i="8"/>
  <c r="T34" i="8"/>
  <c r="H34" i="8"/>
  <c r="F71" i="8"/>
  <c r="E70" i="8"/>
  <c r="C70" i="8"/>
  <c r="P70" i="8"/>
  <c r="G33" i="8"/>
  <c r="K33" i="8"/>
  <c r="T33" i="8"/>
  <c r="R71" i="8"/>
  <c r="K70" i="8"/>
  <c r="K71" i="8"/>
  <c r="C34" i="8"/>
  <c r="F34" i="8"/>
  <c r="T70" i="8"/>
  <c r="Q70" i="8"/>
  <c r="Q33" i="8"/>
  <c r="H70" i="8"/>
  <c r="J70" i="8"/>
  <c r="H71" i="8"/>
  <c r="S34" i="8"/>
  <c r="D34" i="8"/>
  <c r="J33" i="8"/>
  <c r="J71" i="8"/>
  <c r="I70" i="8"/>
  <c r="G70" i="8"/>
  <c r="C33" i="8"/>
  <c r="L33" i="8"/>
  <c r="E34" i="8"/>
  <c r="K34" i="8"/>
  <c r="R70" i="8"/>
  <c r="D63" i="8"/>
  <c r="P64" i="8"/>
  <c r="K25" i="8"/>
  <c r="S62" i="8"/>
  <c r="R64" i="8"/>
  <c r="E64" i="8"/>
  <c r="L26" i="8"/>
  <c r="T64" i="8"/>
  <c r="K62" i="8"/>
  <c r="Q25" i="8"/>
  <c r="J63" i="8"/>
  <c r="G26" i="8"/>
  <c r="T63" i="8"/>
  <c r="F62" i="8"/>
  <c r="C25" i="8"/>
  <c r="L25" i="8"/>
  <c r="K26" i="8"/>
  <c r="E25" i="8"/>
  <c r="D26" i="8"/>
  <c r="Q63" i="8"/>
  <c r="T26" i="8"/>
  <c r="I62" i="8"/>
  <c r="D62" i="8"/>
  <c r="I26" i="8"/>
  <c r="P26" i="8"/>
  <c r="T62" i="8"/>
  <c r="G63" i="8"/>
  <c r="J64" i="8"/>
  <c r="P25" i="8"/>
  <c r="I63" i="8"/>
  <c r="L64" i="8"/>
  <c r="H63" i="8"/>
  <c r="G64" i="8"/>
  <c r="C63" i="8"/>
  <c r="R62" i="8"/>
  <c r="E63" i="8"/>
  <c r="D64" i="8"/>
  <c r="R26" i="8"/>
  <c r="J62" i="8"/>
  <c r="G25" i="8"/>
  <c r="F26" i="8"/>
  <c r="I64" i="8"/>
  <c r="L62" i="8"/>
  <c r="S63" i="8"/>
  <c r="R25" i="8"/>
  <c r="I25" i="8"/>
  <c r="K63" i="8"/>
  <c r="E62" i="8"/>
  <c r="Q62" i="8"/>
  <c r="H26" i="8"/>
  <c r="H64" i="8"/>
  <c r="T25" i="8"/>
  <c r="C64" i="8"/>
  <c r="G62" i="8"/>
  <c r="J26" i="8"/>
  <c r="D25" i="8"/>
  <c r="F63" i="8"/>
  <c r="Q26" i="8"/>
  <c r="C26" i="8"/>
  <c r="P63" i="8"/>
  <c r="F25" i="8"/>
  <c r="S26" i="8"/>
  <c r="E26" i="8"/>
  <c r="R63" i="8"/>
  <c r="H25" i="8"/>
  <c r="P62" i="8"/>
  <c r="K64" i="8"/>
  <c r="S25" i="8"/>
  <c r="L63" i="8"/>
  <c r="Q64" i="8"/>
  <c r="H62" i="8"/>
  <c r="S64" i="8"/>
  <c r="F64" i="8"/>
  <c r="C62" i="8"/>
  <c r="E79" i="8"/>
  <c r="C79" i="8"/>
  <c r="E78" i="8"/>
  <c r="C78" i="8"/>
  <c r="E77" i="8"/>
  <c r="C77" i="8"/>
  <c r="S72" i="8"/>
  <c r="Q72" i="8"/>
  <c r="L72" i="8"/>
  <c r="J72" i="8"/>
  <c r="H72" i="8"/>
  <c r="F72" i="8"/>
  <c r="D72" i="8"/>
  <c r="S69" i="8"/>
  <c r="Q69" i="8"/>
  <c r="J69" i="8"/>
  <c r="H69" i="8"/>
  <c r="F69" i="8"/>
  <c r="D69" i="8"/>
  <c r="T61" i="8"/>
  <c r="R61" i="8"/>
  <c r="P61" i="8"/>
  <c r="K61" i="8"/>
  <c r="I61" i="8"/>
  <c r="G61" i="8"/>
  <c r="E61" i="8"/>
  <c r="C61" i="8"/>
  <c r="S56" i="8"/>
  <c r="Q56" i="8"/>
  <c r="L56" i="8"/>
  <c r="J56" i="8"/>
  <c r="H56" i="8"/>
  <c r="F56" i="8"/>
  <c r="D56" i="8"/>
  <c r="T55" i="8"/>
  <c r="R55" i="8"/>
  <c r="P55" i="8"/>
  <c r="K55" i="8"/>
  <c r="I55" i="8"/>
  <c r="G55" i="8"/>
  <c r="E55" i="8"/>
  <c r="C55" i="8"/>
  <c r="S54" i="8"/>
  <c r="Q54" i="8"/>
  <c r="L54" i="8"/>
  <c r="J54" i="8"/>
  <c r="H54" i="8"/>
  <c r="F54" i="8"/>
  <c r="D54" i="8"/>
  <c r="F49" i="8"/>
  <c r="D49" i="8"/>
  <c r="F48" i="8"/>
  <c r="D48" i="8"/>
  <c r="F47" i="8"/>
  <c r="D47" i="8"/>
  <c r="S42" i="8"/>
  <c r="Q42" i="8"/>
  <c r="F42" i="8"/>
  <c r="D42" i="8"/>
  <c r="S41" i="8"/>
  <c r="Q41" i="8"/>
  <c r="F41" i="8"/>
  <c r="D41" i="8"/>
  <c r="S40" i="8"/>
  <c r="Q40" i="8"/>
  <c r="F40" i="8"/>
  <c r="D40" i="8"/>
  <c r="T35" i="8"/>
  <c r="R35" i="8"/>
  <c r="P35" i="8"/>
  <c r="K35" i="8"/>
  <c r="I35" i="8"/>
  <c r="G35" i="8"/>
  <c r="E35" i="8"/>
  <c r="C35" i="8"/>
  <c r="T32" i="8"/>
  <c r="R32" i="8"/>
  <c r="P32" i="8"/>
  <c r="K32" i="8"/>
  <c r="I32" i="8"/>
  <c r="G32" i="8"/>
  <c r="E32" i="8"/>
  <c r="C32" i="8"/>
  <c r="S27" i="8"/>
  <c r="Q27" i="8"/>
  <c r="L27" i="8"/>
  <c r="J27" i="8"/>
  <c r="H27" i="8"/>
  <c r="F27" i="8"/>
  <c r="D27" i="8"/>
  <c r="S24" i="8"/>
  <c r="Q24" i="8"/>
  <c r="L24" i="8"/>
  <c r="J24" i="8"/>
  <c r="H24" i="8"/>
  <c r="F24" i="8"/>
  <c r="D24" i="8"/>
  <c r="T19" i="8"/>
  <c r="R19" i="8"/>
  <c r="P19" i="8"/>
  <c r="K19" i="8"/>
  <c r="I19" i="8"/>
  <c r="G19" i="8"/>
  <c r="E19" i="8"/>
  <c r="C19" i="8"/>
  <c r="S18" i="8"/>
  <c r="Q18" i="8"/>
  <c r="L18" i="8"/>
  <c r="J18" i="8"/>
  <c r="H18" i="8"/>
  <c r="F18" i="8"/>
  <c r="D18" i="8"/>
  <c r="T17" i="8"/>
  <c r="R17" i="8"/>
  <c r="P17" i="8"/>
  <c r="K17" i="8"/>
  <c r="I17" i="8"/>
  <c r="G17" i="8"/>
  <c r="E17" i="8"/>
  <c r="C17" i="8"/>
  <c r="F79" i="8"/>
  <c r="D79" i="8"/>
  <c r="F78" i="8"/>
  <c r="D78" i="8"/>
  <c r="F77" i="8"/>
  <c r="D77" i="8"/>
  <c r="T72" i="8"/>
  <c r="R72" i="8"/>
  <c r="P72" i="8"/>
  <c r="K72" i="8"/>
  <c r="I72" i="8"/>
  <c r="G72" i="8"/>
  <c r="E72" i="8"/>
  <c r="C72" i="8"/>
  <c r="T69" i="8"/>
  <c r="R69" i="8"/>
  <c r="P69" i="8"/>
  <c r="K69" i="8"/>
  <c r="I69" i="8"/>
  <c r="G69" i="8"/>
  <c r="E69" i="8"/>
  <c r="C69" i="8"/>
  <c r="S61" i="8"/>
  <c r="Q61" i="8"/>
  <c r="L61" i="8"/>
  <c r="J61" i="8"/>
  <c r="H61" i="8"/>
  <c r="F61" i="8"/>
  <c r="D61" i="8"/>
  <c r="T56" i="8"/>
  <c r="R56" i="8"/>
  <c r="P56" i="8"/>
  <c r="K56" i="8"/>
  <c r="I56" i="8"/>
  <c r="G56" i="8"/>
  <c r="E56" i="8"/>
  <c r="C56" i="8"/>
  <c r="S55" i="8"/>
  <c r="Q55" i="8"/>
  <c r="L55" i="8"/>
  <c r="J55" i="8"/>
  <c r="H55" i="8"/>
  <c r="F55" i="8"/>
  <c r="D55" i="8"/>
  <c r="T54" i="8"/>
  <c r="R54" i="8"/>
  <c r="P54" i="8"/>
  <c r="K54" i="8"/>
  <c r="I54" i="8"/>
  <c r="G54" i="8"/>
  <c r="E54" i="8"/>
  <c r="C54" i="8"/>
  <c r="E49" i="8"/>
  <c r="C49" i="8"/>
  <c r="E48" i="8"/>
  <c r="C48" i="8"/>
  <c r="E47" i="8"/>
  <c r="C47" i="8"/>
  <c r="R42" i="8"/>
  <c r="P42" i="8"/>
  <c r="E42" i="8"/>
  <c r="C42" i="8"/>
  <c r="R41" i="8"/>
  <c r="P41" i="8"/>
  <c r="E41" i="8"/>
  <c r="C41" i="8"/>
  <c r="R40" i="8"/>
  <c r="P40" i="8"/>
  <c r="E40" i="8"/>
  <c r="C40" i="8"/>
  <c r="S35" i="8"/>
  <c r="Q35" i="8"/>
  <c r="L35" i="8"/>
  <c r="J35" i="8"/>
  <c r="H35" i="8"/>
  <c r="F35" i="8"/>
  <c r="D35" i="8"/>
  <c r="S32" i="8"/>
  <c r="Q32" i="8"/>
  <c r="L32" i="8"/>
  <c r="J32" i="8"/>
  <c r="H32" i="8"/>
  <c r="F32" i="8"/>
  <c r="D32" i="8"/>
  <c r="T27" i="8"/>
  <c r="R27" i="8"/>
  <c r="P27" i="8"/>
  <c r="K27" i="8"/>
  <c r="I27" i="8"/>
  <c r="G27" i="8"/>
  <c r="E27" i="8"/>
  <c r="C27" i="8"/>
  <c r="T24" i="8"/>
  <c r="R24" i="8"/>
  <c r="P24" i="8"/>
  <c r="K24" i="8"/>
  <c r="I24" i="8"/>
  <c r="G24" i="8"/>
  <c r="E24" i="8"/>
  <c r="C24" i="8"/>
  <c r="S19" i="8"/>
  <c r="Q19" i="8"/>
  <c r="L19" i="8"/>
  <c r="J19" i="8"/>
  <c r="H19" i="8"/>
  <c r="F19" i="8"/>
  <c r="D19" i="8"/>
  <c r="T18" i="8"/>
  <c r="R18" i="8"/>
  <c r="P18" i="8"/>
  <c r="K18" i="8"/>
  <c r="I18" i="8"/>
  <c r="G18" i="8"/>
  <c r="E18" i="8"/>
  <c r="C18" i="8"/>
  <c r="S17" i="8"/>
  <c r="Q17" i="8"/>
  <c r="L17" i="8"/>
  <c r="J17" i="8"/>
  <c r="H17" i="8"/>
  <c r="F17" i="8"/>
  <c r="D17" i="8"/>
  <c r="H23" i="6"/>
  <c r="H24" i="6" s="1"/>
  <c r="G44" i="6"/>
  <c r="H44" i="6" s="1"/>
  <c r="I3" i="6"/>
  <c r="I23" i="6" l="1"/>
  <c r="I24" i="6" s="1"/>
  <c r="I44" i="6"/>
  <c r="H45" i="6"/>
  <c r="J3" i="6"/>
  <c r="I4" i="6"/>
  <c r="J23" i="6" l="1"/>
  <c r="J24" i="6" s="1"/>
  <c r="J44" i="6"/>
  <c r="I45" i="6"/>
  <c r="B25" i="6"/>
  <c r="B24" i="6" s="1"/>
  <c r="K4" i="1" s="1"/>
  <c r="B5" i="6"/>
  <c r="B4" i="6" s="1"/>
  <c r="K5" i="1" s="1"/>
  <c r="B35" i="6"/>
  <c r="B34" i="6" s="1"/>
  <c r="M4" i="1" s="1"/>
  <c r="B15" i="6"/>
  <c r="B14" i="6" s="1"/>
  <c r="M5" i="1" s="1"/>
  <c r="K3" i="6"/>
  <c r="J4" i="6"/>
  <c r="C5" i="1" s="1"/>
  <c r="K23" i="6"/>
  <c r="K24" i="6" s="1"/>
  <c r="K35" i="1" l="1"/>
  <c r="K12" i="1"/>
  <c r="L35" i="1"/>
  <c r="J35" i="1"/>
  <c r="I12" i="1"/>
  <c r="B39" i="1"/>
  <c r="B32" i="1"/>
  <c r="B24" i="1"/>
  <c r="B61" i="1"/>
  <c r="B68" i="1"/>
  <c r="B53" i="1"/>
  <c r="B23" i="1"/>
  <c r="B76" i="1"/>
  <c r="B60" i="1"/>
  <c r="B31" i="1"/>
  <c r="B16" i="1"/>
  <c r="B48" i="1"/>
  <c r="B46" i="1"/>
  <c r="B47" i="1"/>
  <c r="B78" i="1"/>
  <c r="B77" i="1"/>
  <c r="K44" i="6"/>
  <c r="J45" i="6"/>
  <c r="B71" i="1"/>
  <c r="M12" i="1"/>
  <c r="B40" i="1"/>
  <c r="B54" i="1"/>
  <c r="B41" i="1"/>
  <c r="B26" i="1"/>
  <c r="B70" i="1"/>
  <c r="B55" i="1"/>
  <c r="B33" i="1"/>
  <c r="E12" i="1"/>
  <c r="D12" i="1"/>
  <c r="J12" i="1"/>
  <c r="B18" i="1"/>
  <c r="B62" i="1"/>
  <c r="B25" i="1"/>
  <c r="G12" i="1"/>
  <c r="L12" i="1"/>
  <c r="H12" i="1"/>
  <c r="B17" i="1"/>
  <c r="B34" i="1"/>
  <c r="B63" i="1"/>
  <c r="F12" i="1"/>
  <c r="L3" i="6"/>
  <c r="K4" i="6"/>
  <c r="Z37" i="1" s="1"/>
  <c r="L23" i="6"/>
  <c r="L24" i="6" s="1"/>
  <c r="P8" i="1" s="1"/>
  <c r="G78" i="1" l="1"/>
  <c r="G26" i="1"/>
  <c r="G48" i="1"/>
  <c r="G39" i="1"/>
  <c r="G31" i="1"/>
  <c r="G76" i="1"/>
  <c r="G60" i="1"/>
  <c r="G68" i="1"/>
  <c r="G32" i="1"/>
  <c r="G69" i="1"/>
  <c r="G61" i="1"/>
  <c r="G53" i="1"/>
  <c r="G40" i="1"/>
  <c r="G16" i="1"/>
  <c r="G23" i="1"/>
  <c r="G77" i="1"/>
  <c r="G25" i="1"/>
  <c r="G47" i="1"/>
  <c r="G34" i="1"/>
  <c r="G71" i="1"/>
  <c r="G24" i="1"/>
  <c r="G17" i="1"/>
  <c r="G63" i="1"/>
  <c r="G55" i="1"/>
  <c r="G46" i="1"/>
  <c r="G33" i="1"/>
  <c r="G70" i="1"/>
  <c r="G62" i="1"/>
  <c r="G54" i="1"/>
  <c r="G41" i="1"/>
  <c r="G18" i="1"/>
  <c r="D33" i="1"/>
  <c r="D26" i="1"/>
  <c r="D16" i="1"/>
  <c r="D53" i="1"/>
  <c r="D40" i="1"/>
  <c r="D48" i="1"/>
  <c r="D31" i="1"/>
  <c r="D76" i="1"/>
  <c r="D68" i="1"/>
  <c r="D60" i="1"/>
  <c r="D24" i="1"/>
  <c r="D17" i="1"/>
  <c r="D70" i="1"/>
  <c r="D62" i="1"/>
  <c r="D54" i="1"/>
  <c r="D23" i="1"/>
  <c r="D41" i="1"/>
  <c r="D78" i="1"/>
  <c r="D39" i="1"/>
  <c r="D32" i="1"/>
  <c r="D69" i="1"/>
  <c r="D61" i="1"/>
  <c r="D77" i="1"/>
  <c r="D63" i="1"/>
  <c r="D55" i="1"/>
  <c r="D47" i="1"/>
  <c r="D34" i="1"/>
  <c r="D71" i="1"/>
  <c r="D25" i="1"/>
  <c r="D18" i="1"/>
  <c r="D46" i="1"/>
  <c r="E70" i="1"/>
  <c r="E62" i="1"/>
  <c r="E54" i="1"/>
  <c r="E41" i="1"/>
  <c r="E16" i="1"/>
  <c r="E32" i="1"/>
  <c r="E53" i="1"/>
  <c r="E31" i="1"/>
  <c r="E23" i="1"/>
  <c r="E76" i="1"/>
  <c r="E60" i="1"/>
  <c r="E33" i="1"/>
  <c r="E61" i="1"/>
  <c r="E78" i="1"/>
  <c r="E26" i="1"/>
  <c r="E40" i="1"/>
  <c r="E48" i="1"/>
  <c r="E68" i="1"/>
  <c r="E69" i="1"/>
  <c r="E77" i="1"/>
  <c r="E39" i="1"/>
  <c r="E24" i="1"/>
  <c r="E17" i="1"/>
  <c r="E63" i="1"/>
  <c r="E55" i="1"/>
  <c r="E47" i="1"/>
  <c r="E34" i="1"/>
  <c r="E71" i="1"/>
  <c r="E46" i="1"/>
  <c r="E25" i="1"/>
  <c r="E18" i="1"/>
  <c r="F41" i="1"/>
  <c r="F32" i="1"/>
  <c r="F26" i="1"/>
  <c r="F61" i="1"/>
  <c r="F53" i="1"/>
  <c r="F40" i="1"/>
  <c r="F31" i="1"/>
  <c r="F23" i="1"/>
  <c r="F76" i="1"/>
  <c r="F60" i="1"/>
  <c r="F78" i="1"/>
  <c r="F16" i="1"/>
  <c r="F39" i="1"/>
  <c r="F69" i="1"/>
  <c r="F48" i="1"/>
  <c r="F77" i="1"/>
  <c r="F68" i="1"/>
  <c r="F47" i="1"/>
  <c r="F34" i="1"/>
  <c r="F24" i="1"/>
  <c r="F17" i="1"/>
  <c r="F71" i="1"/>
  <c r="F63" i="1"/>
  <c r="F55" i="1"/>
  <c r="F46" i="1"/>
  <c r="F33" i="1"/>
  <c r="F25" i="1"/>
  <c r="F18" i="1"/>
  <c r="F70" i="1"/>
  <c r="F62" i="1"/>
  <c r="F54" i="1"/>
  <c r="H25" i="1"/>
  <c r="H18" i="1"/>
  <c r="H16" i="1"/>
  <c r="H26" i="1"/>
  <c r="H23" i="1"/>
  <c r="H68" i="1"/>
  <c r="H32" i="1"/>
  <c r="H69" i="1"/>
  <c r="H61" i="1"/>
  <c r="H53" i="1"/>
  <c r="H60" i="1"/>
  <c r="H34" i="1"/>
  <c r="H31" i="1"/>
  <c r="H71" i="1"/>
  <c r="H24" i="1"/>
  <c r="H17" i="1"/>
  <c r="H63" i="1"/>
  <c r="H55" i="1"/>
  <c r="H33" i="1"/>
  <c r="H70" i="1"/>
  <c r="H62" i="1"/>
  <c r="H54" i="1"/>
  <c r="L24" i="1"/>
  <c r="L26" i="1"/>
  <c r="L17" i="1"/>
  <c r="L63" i="1"/>
  <c r="L68" i="1"/>
  <c r="L40" i="1"/>
  <c r="L55" i="1"/>
  <c r="L33" i="1"/>
  <c r="L31" i="1"/>
  <c r="L23" i="1"/>
  <c r="L70" i="1"/>
  <c r="L62" i="1"/>
  <c r="L60" i="1"/>
  <c r="L54" i="1"/>
  <c r="L18" i="1"/>
  <c r="L69" i="1"/>
  <c r="L16" i="1"/>
  <c r="L25" i="1"/>
  <c r="L34" i="1"/>
  <c r="L32" i="1"/>
  <c r="L71" i="1"/>
  <c r="L61" i="1"/>
  <c r="L53" i="1"/>
  <c r="L41" i="1"/>
  <c r="M16" i="1"/>
  <c r="M33" i="1"/>
  <c r="M31" i="1"/>
  <c r="M70" i="1"/>
  <c r="M68" i="1"/>
  <c r="M62" i="1"/>
  <c r="M60" i="1"/>
  <c r="M54" i="1"/>
  <c r="M24" i="1"/>
  <c r="M26" i="1"/>
  <c r="M17" i="1"/>
  <c r="M23" i="1"/>
  <c r="M63" i="1"/>
  <c r="M55" i="1"/>
  <c r="M34" i="1"/>
  <c r="M71" i="1"/>
  <c r="M61" i="1"/>
  <c r="M25" i="1"/>
  <c r="M18" i="1"/>
  <c r="M32" i="1"/>
  <c r="M69" i="1"/>
  <c r="M53" i="1"/>
  <c r="K33" i="1"/>
  <c r="K68" i="1"/>
  <c r="K62" i="1"/>
  <c r="K54" i="1"/>
  <c r="K24" i="1"/>
  <c r="K17" i="1"/>
  <c r="K63" i="1"/>
  <c r="K55" i="1"/>
  <c r="K31" i="1"/>
  <c r="K23" i="1"/>
  <c r="K70" i="1"/>
  <c r="K60" i="1"/>
  <c r="K34" i="1"/>
  <c r="K71" i="1"/>
  <c r="K61" i="1"/>
  <c r="K53" i="1"/>
  <c r="K26" i="1"/>
  <c r="K25" i="1"/>
  <c r="K18" i="1"/>
  <c r="K32" i="1"/>
  <c r="K69" i="1"/>
  <c r="K41" i="1"/>
  <c r="K40" i="1"/>
  <c r="K16" i="1"/>
  <c r="J41" i="1"/>
  <c r="J63" i="1"/>
  <c r="J55" i="1"/>
  <c r="J23" i="1"/>
  <c r="J68" i="1"/>
  <c r="J60" i="1"/>
  <c r="J32" i="1"/>
  <c r="J40" i="1"/>
  <c r="J33" i="1"/>
  <c r="J31" i="1"/>
  <c r="J70" i="1"/>
  <c r="J62" i="1"/>
  <c r="J54" i="1"/>
  <c r="J25" i="1"/>
  <c r="J18" i="1"/>
  <c r="J34" i="1"/>
  <c r="J53" i="1"/>
  <c r="J17" i="1"/>
  <c r="J69" i="1"/>
  <c r="J71" i="1"/>
  <c r="J61" i="1"/>
  <c r="J16" i="1"/>
  <c r="J24" i="1"/>
  <c r="J26" i="1"/>
  <c r="I31" i="1"/>
  <c r="I23" i="1"/>
  <c r="I32" i="1"/>
  <c r="I55" i="1"/>
  <c r="I33" i="1"/>
  <c r="I25" i="1"/>
  <c r="I18" i="1"/>
  <c r="I70" i="1"/>
  <c r="I68" i="1"/>
  <c r="I62" i="1"/>
  <c r="I60" i="1"/>
  <c r="I54" i="1"/>
  <c r="I34" i="1"/>
  <c r="I16" i="1"/>
  <c r="I17" i="1"/>
  <c r="I69" i="1"/>
  <c r="I63" i="1"/>
  <c r="I24" i="1"/>
  <c r="I26" i="1"/>
  <c r="I71" i="1"/>
  <c r="I61" i="1"/>
  <c r="I53" i="1"/>
  <c r="I51" i="1"/>
  <c r="D37" i="1"/>
  <c r="I29" i="1"/>
  <c r="I21" i="1"/>
  <c r="D21" i="1"/>
  <c r="I66" i="1"/>
  <c r="J38" i="1"/>
  <c r="D14" i="1"/>
  <c r="D29" i="1"/>
  <c r="D66" i="1"/>
  <c r="D58" i="1"/>
  <c r="D51" i="1"/>
  <c r="D44" i="1"/>
  <c r="I14" i="1"/>
  <c r="D74" i="1"/>
  <c r="I58" i="1"/>
  <c r="Z74" i="1"/>
  <c r="T74" i="1"/>
  <c r="L44" i="6"/>
  <c r="L45" i="6" s="1"/>
  <c r="K45" i="6"/>
  <c r="Y66" i="1"/>
  <c r="Y29" i="1"/>
  <c r="Y58" i="1"/>
  <c r="Y21" i="1"/>
  <c r="Y51" i="1"/>
  <c r="Y14" i="1"/>
  <c r="T37" i="1"/>
  <c r="T66" i="1"/>
  <c r="T29" i="1"/>
  <c r="T58" i="1"/>
  <c r="T21" i="1"/>
  <c r="T51" i="1"/>
  <c r="T14" i="1"/>
  <c r="M3" i="6"/>
  <c r="L4" i="6"/>
  <c r="AD46" i="8" s="1"/>
  <c r="M23" i="6"/>
  <c r="M24" i="6" s="1"/>
  <c r="I38" i="1" l="1"/>
  <c r="Y37" i="1"/>
  <c r="Y74" i="1"/>
  <c r="S74" i="1"/>
  <c r="C74" i="1"/>
  <c r="C44" i="11"/>
  <c r="C44" i="1"/>
  <c r="C46" i="8"/>
  <c r="C42" i="6"/>
  <c r="M44" i="6"/>
  <c r="M45" i="6" s="1"/>
  <c r="S37" i="1"/>
  <c r="S66" i="1"/>
  <c r="S29" i="1"/>
  <c r="S58" i="1"/>
  <c r="S21" i="1"/>
  <c r="S51" i="1"/>
  <c r="S14" i="1"/>
  <c r="AD66" i="1"/>
  <c r="AD29" i="1"/>
  <c r="AD58" i="1"/>
  <c r="AD21" i="1"/>
  <c r="AD51" i="1"/>
  <c r="AD14" i="1"/>
  <c r="C66" i="1"/>
  <c r="N29" i="1"/>
  <c r="C58" i="1"/>
  <c r="N21" i="1"/>
  <c r="C51" i="1"/>
  <c r="N14" i="1"/>
  <c r="C37" i="1"/>
  <c r="N66" i="1"/>
  <c r="C29" i="1"/>
  <c r="N58" i="1"/>
  <c r="C21" i="1"/>
  <c r="N51" i="1"/>
  <c r="C14" i="1"/>
  <c r="N3" i="6"/>
  <c r="M4" i="6"/>
  <c r="J4" i="1" s="1"/>
  <c r="N23" i="6"/>
  <c r="N24" i="6" s="1"/>
  <c r="N44" i="6" l="1"/>
  <c r="J5" i="1"/>
  <c r="O3" i="6"/>
  <c r="N4" i="6"/>
  <c r="O23" i="6"/>
  <c r="O24" i="6" s="1"/>
  <c r="L5" i="1" l="1"/>
  <c r="L4" i="1"/>
  <c r="O44" i="6"/>
  <c r="N45" i="6"/>
  <c r="L3" i="1"/>
  <c r="P3" i="6"/>
  <c r="O4" i="6"/>
  <c r="J3" i="1" s="1"/>
  <c r="P23" i="6"/>
  <c r="P24" i="6" s="1"/>
  <c r="P44" i="6" l="1"/>
  <c r="O45" i="6"/>
  <c r="Q3" i="6"/>
  <c r="P4" i="6"/>
  <c r="Q23" i="6"/>
  <c r="Q24" i="6" s="1"/>
  <c r="A6" i="10" s="1"/>
  <c r="Q44" i="6" l="1"/>
  <c r="P45" i="6"/>
  <c r="C2" i="1"/>
  <c r="C3" i="8"/>
  <c r="R3" i="6"/>
  <c r="Q4" i="6"/>
  <c r="C6" i="1" s="1"/>
  <c r="R23" i="6"/>
  <c r="R24" i="6" s="1"/>
  <c r="B6" i="10" s="1"/>
  <c r="R44" i="6" l="1"/>
  <c r="Q45" i="6"/>
  <c r="S3" i="6"/>
  <c r="R4" i="6"/>
  <c r="H2" i="1" s="1"/>
  <c r="S23" i="6"/>
  <c r="S24" i="6" s="1"/>
  <c r="C6" i="10" s="1"/>
  <c r="S44" i="6" l="1"/>
  <c r="R45" i="6"/>
  <c r="T3" i="6"/>
  <c r="S4" i="6"/>
  <c r="T23" i="6"/>
  <c r="T24" i="6" s="1"/>
  <c r="T44" i="6" l="1"/>
  <c r="S45" i="6"/>
  <c r="U3" i="6"/>
  <c r="U4" i="6" s="1"/>
  <c r="H7" i="1" s="1"/>
  <c r="T4" i="6"/>
  <c r="U23" i="6"/>
  <c r="U24" i="6" l="1"/>
  <c r="D6" i="10" s="1"/>
  <c r="J6" i="10"/>
  <c r="U44" i="6"/>
  <c r="T45" i="6"/>
  <c r="V3" i="6"/>
  <c r="V4" i="6" s="1"/>
  <c r="V23" i="6"/>
  <c r="V24" i="6" s="1"/>
  <c r="E6" i="10" l="1"/>
  <c r="W23" i="6"/>
  <c r="V44" i="6"/>
  <c r="U45" i="6"/>
  <c r="W3" i="6"/>
  <c r="W4" i="6" s="1"/>
  <c r="W44" i="6" l="1"/>
  <c r="V45" i="6"/>
  <c r="X23" i="6"/>
  <c r="W24" i="6"/>
  <c r="F6" i="10" s="1"/>
  <c r="X3" i="6"/>
  <c r="X4" i="6" s="1"/>
  <c r="Y23" i="6" l="1"/>
  <c r="X24" i="6"/>
  <c r="G6" i="10" s="1"/>
  <c r="X44" i="6"/>
  <c r="W45" i="6"/>
  <c r="Y3" i="6"/>
  <c r="Y4" i="6" s="1"/>
  <c r="Y44" i="6" l="1"/>
  <c r="X45" i="6"/>
  <c r="Y24" i="6"/>
  <c r="H6" i="10" s="1"/>
  <c r="Z23" i="6"/>
  <c r="Z3" i="6"/>
  <c r="Z4" i="6" s="1"/>
  <c r="B51" i="6" s="1"/>
  <c r="H4" i="8" l="1"/>
  <c r="Z44" i="6"/>
  <c r="Y45" i="6"/>
  <c r="Z24" i="6"/>
  <c r="I6" i="10" s="1"/>
  <c r="AA23" i="6"/>
  <c r="AA3" i="6"/>
  <c r="AB3" i="6" l="1"/>
  <c r="AA4" i="6"/>
  <c r="B52" i="6" s="1"/>
  <c r="B50" i="6" s="1"/>
  <c r="H8" i="1" s="1"/>
  <c r="AA44" i="6"/>
  <c r="Z45" i="6"/>
  <c r="AB23" i="6"/>
  <c r="AA24" i="6"/>
  <c r="K6" i="10" s="1"/>
  <c r="AC3" i="6" l="1"/>
  <c r="AB4" i="6"/>
  <c r="C7" i="1" s="1"/>
  <c r="AC23" i="6"/>
  <c r="AB24" i="6"/>
  <c r="A1" i="10" s="1"/>
  <c r="Q8" i="1" s="1"/>
  <c r="AB44" i="6"/>
  <c r="AB45" i="6" s="1"/>
  <c r="AA45" i="6"/>
  <c r="AC4" i="6" l="1"/>
  <c r="E7" i="1" s="1"/>
  <c r="AD3" i="6"/>
  <c r="AC24" i="6"/>
  <c r="AD23" i="6"/>
  <c r="AD4" i="6" l="1"/>
  <c r="B105" i="6" s="1"/>
  <c r="B104" i="6" s="1"/>
  <c r="E8" i="1" s="1"/>
  <c r="AE3" i="6"/>
  <c r="AD24" i="6"/>
  <c r="AE23" i="6"/>
  <c r="AE4" i="6" l="1"/>
  <c r="B106" i="6" s="1"/>
  <c r="AF3" i="6"/>
  <c r="AF23" i="6"/>
  <c r="AE24" i="6"/>
  <c r="AG3" i="6" l="1"/>
  <c r="AG4" i="6" s="1"/>
  <c r="L66" i="6" s="1"/>
  <c r="AF4" i="6"/>
  <c r="L65" i="6" s="1"/>
  <c r="L64" i="6" s="1"/>
  <c r="N64" i="6" s="1"/>
  <c r="D2" i="1" s="1"/>
  <c r="AG23" i="6"/>
  <c r="AF24" i="6"/>
  <c r="AH23" i="6" l="1"/>
  <c r="AH24" i="6" s="1"/>
  <c r="AG24" i="6"/>
  <c r="I74" i="6"/>
</calcChain>
</file>

<file path=xl/sharedStrings.xml><?xml version="1.0" encoding="utf-8"?>
<sst xmlns="http://schemas.openxmlformats.org/spreadsheetml/2006/main" count="1592" uniqueCount="732">
  <si>
    <t>Detailní výběr</t>
  </si>
  <si>
    <t xml:space="preserve"> </t>
  </si>
  <si>
    <t>Výška od</t>
  </si>
  <si>
    <t>vše</t>
  </si>
  <si>
    <t>Zadání hodnot</t>
  </si>
  <si>
    <t>Délka od</t>
  </si>
  <si>
    <t>t i</t>
  </si>
  <si>
    <t>Teplota:</t>
  </si>
  <si>
    <t>Tepelné výkony podle EN 442</t>
  </si>
  <si>
    <t>Délka L</t>
  </si>
  <si>
    <t>Výška H [mm]</t>
  </si>
  <si>
    <t>[mm]</t>
  </si>
  <si>
    <t>KORALUX LINEAR CLASSIC</t>
  </si>
  <si>
    <t>KORALUX LINEAR CLASSIC - M</t>
  </si>
  <si>
    <t>KORALUX RONDO CLASSIC</t>
  </si>
  <si>
    <t>KORALUX RONDO CLASSIC - M</t>
  </si>
  <si>
    <t>KORALUX LINEAR COMFORT</t>
  </si>
  <si>
    <t>KORALUX LINEAR COMFORT - M</t>
  </si>
  <si>
    <t>KORALUX RONDO COMFORT</t>
  </si>
  <si>
    <t>KORALUX RONDO COMFORT - M</t>
  </si>
  <si>
    <t>KORALUX STANDARD</t>
  </si>
  <si>
    <r>
      <t xml:space="preserve">t </t>
    </r>
    <r>
      <rPr>
        <sz val="10"/>
        <rFont val="Calibri"/>
        <family val="2"/>
        <charset val="238"/>
      </rPr>
      <t>1</t>
    </r>
  </si>
  <si>
    <r>
      <t xml:space="preserve">t </t>
    </r>
    <r>
      <rPr>
        <sz val="10"/>
        <rFont val="Calibri"/>
        <family val="2"/>
        <charset val="238"/>
      </rPr>
      <t>2</t>
    </r>
  </si>
  <si>
    <r>
      <rPr>
        <b/>
        <sz val="10"/>
        <rFont val="Symbol"/>
        <family val="1"/>
        <charset val="2"/>
      </rPr>
      <t xml:space="preserve"> D</t>
    </r>
    <r>
      <rPr>
        <b/>
        <sz val="10"/>
        <rFont val="Calibri"/>
        <family val="2"/>
        <charset val="238"/>
      </rPr>
      <t xml:space="preserve"> T</t>
    </r>
  </si>
  <si>
    <t>Délka do</t>
  </si>
  <si>
    <t>Výška do</t>
  </si>
  <si>
    <t>Česky</t>
  </si>
  <si>
    <t>Výška</t>
  </si>
  <si>
    <t>Délka</t>
  </si>
  <si>
    <t>od</t>
  </si>
  <si>
    <t>do</t>
  </si>
  <si>
    <t>Height</t>
  </si>
  <si>
    <t>Length</t>
  </si>
  <si>
    <t>from</t>
  </si>
  <si>
    <t>up to</t>
  </si>
  <si>
    <t>alles</t>
  </si>
  <si>
    <t>Wärmeleistungen nach EN 442</t>
  </si>
  <si>
    <t>Bauhöhe</t>
  </si>
  <si>
    <t>Baulänge</t>
  </si>
  <si>
    <t>von</t>
  </si>
  <si>
    <t>bis</t>
  </si>
  <si>
    <t>всё</t>
  </si>
  <si>
    <t>Тепловые мощности согл. EN 442</t>
  </si>
  <si>
    <t>Высота</t>
  </si>
  <si>
    <t>Длина</t>
  </si>
  <si>
    <t>от</t>
  </si>
  <si>
    <t>до</t>
  </si>
  <si>
    <t>wszystko</t>
  </si>
  <si>
    <t>Wydajność cieplna wedlug EN 442</t>
  </si>
  <si>
    <t>Wysokość</t>
  </si>
  <si>
    <t>Długość</t>
  </si>
  <si>
    <t>tout</t>
  </si>
  <si>
    <t>Puissances thermiques selon EN 442</t>
  </si>
  <si>
    <t>Hauteur</t>
  </si>
  <si>
    <t>Longueur</t>
  </si>
  <si>
    <t>de</t>
  </si>
  <si>
    <t>à</t>
  </si>
  <si>
    <t>mind</t>
  </si>
  <si>
    <t>Hőteljesítmény az EN 442 szerint</t>
  </si>
  <si>
    <t>Magasság</t>
  </si>
  <si>
    <t>Hossz</t>
  </si>
  <si>
    <t>alla</t>
  </si>
  <si>
    <t>Värmeavgivning enligt EN 442</t>
  </si>
  <si>
    <t>Höjd</t>
  </si>
  <si>
    <t>Längd</t>
  </si>
  <si>
    <t>från</t>
  </si>
  <si>
    <t>till</t>
  </si>
  <si>
    <t>toate</t>
  </si>
  <si>
    <t>Puteri termice conform EN442</t>
  </si>
  <si>
    <t>Înălţime</t>
  </si>
  <si>
    <t>Lungime</t>
  </si>
  <si>
    <t>de la</t>
  </si>
  <si>
    <t>până la</t>
  </si>
  <si>
    <t>всички</t>
  </si>
  <si>
    <t>Топлинни мощности според ЕН 442</t>
  </si>
  <si>
    <t>Височина</t>
  </si>
  <si>
    <t>Дължина</t>
  </si>
  <si>
    <t>Tepelný výkon</t>
  </si>
  <si>
    <t>Heat output</t>
  </si>
  <si>
    <t>Temperature:</t>
  </si>
  <si>
    <t>Wärmeleistungen</t>
  </si>
  <si>
    <t>Temperatur:</t>
  </si>
  <si>
    <t>Тепловая мощность</t>
  </si>
  <si>
    <t>Температура</t>
  </si>
  <si>
    <t xml:space="preserve">Wydajność cieplna </t>
  </si>
  <si>
    <t>Temperatura:</t>
  </si>
  <si>
    <t>Puissance thermique</t>
  </si>
  <si>
    <t>Température:</t>
  </si>
  <si>
    <t>Hőteljesítmény</t>
  </si>
  <si>
    <t>Hőmérséklet:</t>
  </si>
  <si>
    <t xml:space="preserve">Värmeavgivning </t>
  </si>
  <si>
    <t>Putere termică</t>
  </si>
  <si>
    <t>Temperatură:</t>
  </si>
  <si>
    <t xml:space="preserve">Топлинна мощност </t>
  </si>
  <si>
    <t>Температура:</t>
  </si>
  <si>
    <t>Chybný teplotní spád !!!</t>
  </si>
  <si>
    <t>Chybně zadané hodnoty !!!</t>
  </si>
  <si>
    <t>Wrong temperature gradient !!!</t>
  </si>
  <si>
    <t>Detailed selection</t>
  </si>
  <si>
    <t>Select conditions</t>
  </si>
  <si>
    <t>Wrong values input !!!</t>
  </si>
  <si>
    <t>Falscher Temperaturgradient</t>
  </si>
  <si>
    <t>Detailauswahl</t>
  </si>
  <si>
    <t>Auswahlkriterien</t>
  </si>
  <si>
    <t>Falsche Dateneingabe !!!</t>
  </si>
  <si>
    <t>Неправильный перепад температуры</t>
  </si>
  <si>
    <t>Тип радиатора</t>
  </si>
  <si>
    <t>Параметры</t>
  </si>
  <si>
    <t>Неправильно заданые значения!!!</t>
  </si>
  <si>
    <t>Błędny spadek cieplny !!!</t>
  </si>
  <si>
    <t>Wybór detaliczny</t>
  </si>
  <si>
    <t>Zadanie wartości</t>
  </si>
  <si>
    <t>Błędne zadanie wartości !!!</t>
  </si>
  <si>
    <t>Fausse cadence de température</t>
  </si>
  <si>
    <t>Choix en détail</t>
  </si>
  <si>
    <t>Introduction des valeurs</t>
  </si>
  <si>
    <t>Valeurs mal introduites</t>
  </si>
  <si>
    <t>Hibás hőmérséklet csökkenés !!!</t>
  </si>
  <si>
    <t>Részletes kiválasztás</t>
  </si>
  <si>
    <t>Értékek megadása</t>
  </si>
  <si>
    <t>Hibásan megadott értékek !!!</t>
  </si>
  <si>
    <t>Fel temperaturfall !!!</t>
  </si>
  <si>
    <t>Detaljerat urval</t>
  </si>
  <si>
    <t>välj temperaturfall</t>
  </si>
  <si>
    <t>Fel värde inskrivet !!!</t>
  </si>
  <si>
    <t>Gradient de temperatură greşit !!!</t>
  </si>
  <si>
    <t>Căutare avansată</t>
  </si>
  <si>
    <t>Selectaţi condiţiile</t>
  </si>
  <si>
    <t>Parametrii greşiţi de intrare</t>
  </si>
  <si>
    <t>Грешно температурно спадане !!!</t>
  </si>
  <si>
    <t>Детайлен избор</t>
  </si>
  <si>
    <t>Въвеждане на стойности</t>
  </si>
  <si>
    <t>Грешно въведени стойности !!!</t>
  </si>
  <si>
    <t>Popisky - úvodní strana</t>
  </si>
  <si>
    <t>Popisky - databáze</t>
  </si>
  <si>
    <t>Přidat do databáze</t>
  </si>
  <si>
    <t>Add into database</t>
  </si>
  <si>
    <t>In die Database hinzufügen</t>
  </si>
  <si>
    <t>Добавить в базу данных</t>
  </si>
  <si>
    <t>Dołożyć do wykazu</t>
  </si>
  <si>
    <t>Ajouter dans la base de données</t>
  </si>
  <si>
    <t>Adatbázisba küldés</t>
  </si>
  <si>
    <t>Lägg till i databasen</t>
  </si>
  <si>
    <t>Adăugare la baza de date</t>
  </si>
  <si>
    <t>Допълни в базата данни</t>
  </si>
  <si>
    <t>Mám opravdu smazat databázi?</t>
  </si>
  <si>
    <t>OK</t>
  </si>
  <si>
    <t>Počet záznamů v databázi:</t>
  </si>
  <si>
    <t>Zobrazit databázi</t>
  </si>
  <si>
    <t>Zpět na výběr</t>
  </si>
  <si>
    <t>Export databáze</t>
  </si>
  <si>
    <t>Cena (Kč)</t>
  </si>
  <si>
    <t>Shall the database really be deleted?</t>
  </si>
  <si>
    <t>No. of articles in database:</t>
  </si>
  <si>
    <t>Display the database</t>
  </si>
  <si>
    <t>Back to menu</t>
  </si>
  <si>
    <t>Database export</t>
  </si>
  <si>
    <t>Price (€)</t>
  </si>
  <si>
    <t>Soll die Database wirklich gelöscht werden?</t>
  </si>
  <si>
    <t>Anzahl der Aufnahmen in der Database:</t>
  </si>
  <si>
    <t>Database abbilden</t>
  </si>
  <si>
    <t>Zurück zur Auswahl</t>
  </si>
  <si>
    <t>Database exportieren</t>
  </si>
  <si>
    <t>Preis (€)</t>
  </si>
  <si>
    <t>Количество записей в базе данный:</t>
  </si>
  <si>
    <t>Вернуться на выбор</t>
  </si>
  <si>
    <t>Перевод избранных типов</t>
  </si>
  <si>
    <t>Цена (€)</t>
  </si>
  <si>
    <t>Mam faktycznie stuszować wykaz??</t>
  </si>
  <si>
    <t>Liczba zapisów w wykazie:</t>
  </si>
  <si>
    <t>Wyobrazić wykaz</t>
  </si>
  <si>
    <t>Z powrotem na wybór</t>
  </si>
  <si>
    <t>Eksport wykazu</t>
  </si>
  <si>
    <t>Cena (PLN)</t>
  </si>
  <si>
    <t>Etes-vous sur d´annulation de la base de données?</t>
  </si>
  <si>
    <t>No. d´inscriptions dans la base de données:</t>
  </si>
  <si>
    <t>Montrer la base de données</t>
  </si>
  <si>
    <t>Retour au choix</t>
  </si>
  <si>
    <t>Export de la base de données</t>
  </si>
  <si>
    <t>Valóban törölni az adatbázist?</t>
  </si>
  <si>
    <t>Azt adatbázis tételeinek száma:</t>
  </si>
  <si>
    <t>Adatbázis megjelenítése</t>
  </si>
  <si>
    <t>Vissza a kiválasztáshoz</t>
  </si>
  <si>
    <t>Adatbázis exportja</t>
  </si>
  <si>
    <t>Ska du verkligen tömma databasen?</t>
  </si>
  <si>
    <t>Antal artiklar i databasen:</t>
  </si>
  <si>
    <t>Visa databasen</t>
  </si>
  <si>
    <t>Tillbaka till meny</t>
  </si>
  <si>
    <t>Exportera värde</t>
  </si>
  <si>
    <t>Sigur doriţi să ştergeţi baza de date?</t>
  </si>
  <si>
    <t>Nr. articolelor din baza de date</t>
  </si>
  <si>
    <t>Afişare bază de date</t>
  </si>
  <si>
    <t>Înapoi la meniu</t>
  </si>
  <si>
    <t>Exportare bază de date</t>
  </si>
  <si>
    <t>Наистина ли да изтрия базата данни?</t>
  </si>
  <si>
    <t>Брой записвания в база данни:</t>
  </si>
  <si>
    <t>Покажи база данни</t>
  </si>
  <si>
    <t>Обратно към избор</t>
  </si>
  <si>
    <t>Експорт на база данни</t>
  </si>
  <si>
    <t>W</t>
  </si>
  <si>
    <t>BTU</t>
  </si>
  <si>
    <t>L [mm]</t>
  </si>
  <si>
    <t>úhlopříčné shora</t>
  </si>
  <si>
    <t>VÝKONY PRO ZAPOJENÍ ZDOLA DOLŮ</t>
  </si>
  <si>
    <t>VÝKONY PRO ÚHLOPŘÍČNÉ ZAPOJENÍ</t>
  </si>
  <si>
    <t>Technické změny vyhrazeny.</t>
  </si>
  <si>
    <t>Uvedené výkony jsou platné pouze pro zemi:</t>
  </si>
  <si>
    <t>Technical changes reserved.</t>
  </si>
  <si>
    <t>The quoted outputs are valid only for the country:</t>
  </si>
  <si>
    <t>Technische Änderungen vorbehalten.</t>
  </si>
  <si>
    <t>Die angegebenen Leistungen sind gültig nur für das Land:</t>
  </si>
  <si>
    <t>Призводитель оставляет за собой право на изменения.</t>
  </si>
  <si>
    <t>Данные действительны только для</t>
  </si>
  <si>
    <t>Zmiany techniczne zastrzeżone.</t>
  </si>
  <si>
    <t>Wprowadzene moce są platne tylko dla kraje:</t>
  </si>
  <si>
    <t>Műszaki adatok megváltoztatásának joga fenntartva.</t>
  </si>
  <si>
    <t>A feltüntetett teljesítmények csak a következő országra érvényesek:</t>
  </si>
  <si>
    <t>HU</t>
  </si>
  <si>
    <t>Med reservation för tekniska förändringar.</t>
  </si>
  <si>
    <t>Nämnda effekter är giltiga endast i landet:</t>
  </si>
  <si>
    <t>Producătorul îşi rezervă dreptul de a efectua modificări tehnice</t>
  </si>
  <si>
    <t>Puterile termice menţionate sunt valabile pentru:</t>
  </si>
  <si>
    <t>Право на технически промени.</t>
  </si>
  <si>
    <t>Посочените мощности са валидни само за държава:</t>
  </si>
  <si>
    <t>Číslování verzí</t>
  </si>
  <si>
    <t>kód země</t>
  </si>
  <si>
    <t>číslo verze</t>
  </si>
  <si>
    <t>datum sort.</t>
  </si>
  <si>
    <t>makra</t>
  </si>
  <si>
    <t>CL</t>
  </si>
  <si>
    <t>02</t>
  </si>
  <si>
    <t>M</t>
  </si>
  <si>
    <t>AT</t>
  </si>
  <si>
    <t>01</t>
  </si>
  <si>
    <t>CZ</t>
  </si>
  <si>
    <t>DE</t>
  </si>
  <si>
    <t>03</t>
  </si>
  <si>
    <t>PL</t>
  </si>
  <si>
    <t>04</t>
  </si>
  <si>
    <t>UA</t>
  </si>
  <si>
    <t>05</t>
  </si>
  <si>
    <t>RU</t>
  </si>
  <si>
    <t>06</t>
  </si>
  <si>
    <t>07</t>
  </si>
  <si>
    <t>SW</t>
  </si>
  <si>
    <t>08</t>
  </si>
  <si>
    <t>RO</t>
  </si>
  <si>
    <t>09</t>
  </si>
  <si>
    <t>10</t>
  </si>
  <si>
    <t>1</t>
  </si>
  <si>
    <t>Type of connection</t>
  </si>
  <si>
    <t>Anschlussart an das Heizsystem</t>
  </si>
  <si>
    <t>Heat outputs according to EN 442</t>
  </si>
  <si>
    <t>Способ подключения</t>
  </si>
  <si>
    <t>Sposób podłączenia</t>
  </si>
  <si>
    <t>Начин на свързване</t>
  </si>
  <si>
    <t>bottom connection</t>
  </si>
  <si>
    <t>unten zweiseitig</t>
  </si>
  <si>
    <t>нижнее снизу вниз</t>
  </si>
  <si>
    <t>dolne z dołu w dół</t>
  </si>
  <si>
    <t>dwustronne z góry na dół</t>
  </si>
  <si>
    <t>двустороннее сверху вниз</t>
  </si>
  <si>
    <t>beidseitig von oben nach unten</t>
  </si>
  <si>
    <t>double-sided from the top down</t>
  </si>
  <si>
    <t>долно отдолу долу</t>
  </si>
  <si>
    <t>двустранно отгоре долу</t>
  </si>
  <si>
    <t>KORALUX LINEAR MAX</t>
  </si>
  <si>
    <t>KORALUX RONDO MAX</t>
  </si>
  <si>
    <t>KORALUX LINEAR MAX - M</t>
  </si>
  <si>
    <t>KORALUX RONDO MAX - M</t>
  </si>
  <si>
    <t>KORALUX LINEAR EXCLUSIVE - M</t>
  </si>
  <si>
    <t>KORALUX RONDO EXCLUSIVE - M</t>
  </si>
  <si>
    <t>Identifikace:</t>
  </si>
  <si>
    <t>Číslo</t>
  </si>
  <si>
    <t>Model</t>
  </si>
  <si>
    <t>Objednací číslo</t>
  </si>
  <si>
    <t>Typ</t>
  </si>
  <si>
    <t>t1</t>
  </si>
  <si>
    <t>t2</t>
  </si>
  <si>
    <t>ti</t>
  </si>
  <si>
    <t>Poznámka</t>
  </si>
  <si>
    <t>No.</t>
  </si>
  <si>
    <t>Order No.</t>
  </si>
  <si>
    <t>TYPE</t>
  </si>
  <si>
    <t>Note</t>
  </si>
  <si>
    <t>Identification:</t>
  </si>
  <si>
    <t>Modell</t>
  </si>
  <si>
    <t>Bestellnummer</t>
  </si>
  <si>
    <t>TYP</t>
  </si>
  <si>
    <t>Bauhöhe [mm]</t>
  </si>
  <si>
    <t>Baulänge [mm]</t>
  </si>
  <si>
    <t>Bemerkung</t>
  </si>
  <si>
    <t>Identifikation:</t>
  </si>
  <si>
    <t>Модель</t>
  </si>
  <si>
    <t>Код изделия</t>
  </si>
  <si>
    <t>Тип</t>
  </si>
  <si>
    <t>Т1</t>
  </si>
  <si>
    <t>Т2</t>
  </si>
  <si>
    <t>Примечание</t>
  </si>
  <si>
    <t>Идентификация:</t>
  </si>
  <si>
    <t>Num</t>
  </si>
  <si>
    <t>Numer zamówienia</t>
  </si>
  <si>
    <t>Wysokość [mm]</t>
  </si>
  <si>
    <t>Długość [mm]</t>
  </si>
  <si>
    <t>Notatka</t>
  </si>
  <si>
    <t>Identyfikacja:</t>
  </si>
  <si>
    <t>Modèle</t>
  </si>
  <si>
    <t>No. De commande</t>
  </si>
  <si>
    <t>Nota</t>
  </si>
  <si>
    <t>Sz.</t>
  </si>
  <si>
    <t>Megrend. szám</t>
  </si>
  <si>
    <t>Típus</t>
  </si>
  <si>
    <t>Magasság [mm]</t>
  </si>
  <si>
    <t>Hosszúság [mm]</t>
  </si>
  <si>
    <t>Megjegyzés</t>
  </si>
  <si>
    <t>Azonosító:</t>
  </si>
  <si>
    <t>Nr.</t>
  </si>
  <si>
    <t>Order Nr.</t>
  </si>
  <si>
    <t xml:space="preserve">Notering  </t>
  </si>
  <si>
    <t>Model.</t>
  </si>
  <si>
    <t>Comanda nr.</t>
  </si>
  <si>
    <t>Tip</t>
  </si>
  <si>
    <t>Înălţime [mm]</t>
  </si>
  <si>
    <t>Lungime [mm]</t>
  </si>
  <si>
    <t xml:space="preserve">ti </t>
  </si>
  <si>
    <t>Notă</t>
  </si>
  <si>
    <t>Identificare:</t>
  </si>
  <si>
    <t>Номер</t>
  </si>
  <si>
    <t>Модел</t>
  </si>
  <si>
    <t>Номер за поръчка</t>
  </si>
  <si>
    <t>Височина [mm]</t>
  </si>
  <si>
    <t>Дължина [mm]</t>
  </si>
  <si>
    <t>Забележка</t>
  </si>
  <si>
    <t>Wydajność cieplna</t>
  </si>
  <si>
    <t>Värmeavgivning</t>
  </si>
  <si>
    <t>Топлинна мощност</t>
  </si>
  <si>
    <t>[W]</t>
  </si>
  <si>
    <t>[BTU]</t>
  </si>
  <si>
    <t>Vybraná oblast neobsahuje správná data!!!</t>
  </si>
  <si>
    <t>Selected area does not content right data !!!</t>
  </si>
  <si>
    <t>Ausgewählter Bereich beinhaltet nicht die richtigen Daten !!!</t>
  </si>
  <si>
    <t>В выбранной области имеется неправильная информация!!!</t>
  </si>
  <si>
    <t>Wybrany zakres nie zawiera prawiedlowe dane!!!</t>
  </si>
  <si>
    <t>La zone marquée ne contient pas de données correctes!!!</t>
  </si>
  <si>
    <t>A kiválasztott terület nem tartalmaz valós adatokat !!!</t>
  </si>
  <si>
    <t>Vald ruta inehåller inte rätt data !!!</t>
  </si>
  <si>
    <t>Câmpul selectat nu conţine date corecte !!</t>
  </si>
  <si>
    <t>Избраната област не съдържа правилни данни!!!</t>
  </si>
  <si>
    <t>all</t>
  </si>
  <si>
    <t>Přidávací a mazací formulář</t>
  </si>
  <si>
    <t>Přidání položky do databáze</t>
  </si>
  <si>
    <t>Poznámka (maximum 20 znaků):</t>
  </si>
  <si>
    <t>Zrušit</t>
  </si>
  <si>
    <t>Vložit</t>
  </si>
  <si>
    <t>Formulář nelze zavřít tímto způsobem !!!</t>
  </si>
  <si>
    <t>Zápis úspěšně proveden</t>
  </si>
  <si>
    <t>Vymazat</t>
  </si>
  <si>
    <t>Databáze</t>
  </si>
  <si>
    <t>Výmaz položky z databáze</t>
  </si>
  <si>
    <t>Výmaz databáze</t>
  </si>
  <si>
    <t>Add item into the database</t>
  </si>
  <si>
    <t>Type</t>
  </si>
  <si>
    <t>Note (up to 20 characters)</t>
  </si>
  <si>
    <t>Cancel</t>
  </si>
  <si>
    <t>Add</t>
  </si>
  <si>
    <t>The form cannot be closed in this way !!!</t>
  </si>
  <si>
    <t xml:space="preserve">Entry successfully processed </t>
  </si>
  <si>
    <t>Delete</t>
  </si>
  <si>
    <t>Database</t>
  </si>
  <si>
    <t>Delete an item from the database</t>
  </si>
  <si>
    <t>Database erase</t>
  </si>
  <si>
    <t>Den Posten in die Database hinzufügen</t>
  </si>
  <si>
    <t>Bemerkung (max. 20 Zeichen)</t>
  </si>
  <si>
    <t>Aufheben</t>
  </si>
  <si>
    <t>Einfügen</t>
  </si>
  <si>
    <t>Das Formular kann nicht auf diese Art geschlossen werden !!!</t>
  </si>
  <si>
    <t>Eingabe erfolgreich durchgeführt</t>
  </si>
  <si>
    <t>Löschen</t>
  </si>
  <si>
    <t>Den Posten aus der Database löschen</t>
  </si>
  <si>
    <t>Database löschen</t>
  </si>
  <si>
    <t xml:space="preserve"> Добавить в базу данных</t>
  </si>
  <si>
    <t>Примечание (макс 20 знаков)</t>
  </si>
  <si>
    <t>Отменить</t>
  </si>
  <si>
    <t>Добавить</t>
  </si>
  <si>
    <t>Документ не возможно закрыть в таком формате!!!</t>
  </si>
  <si>
    <t>Запись успешно сделана</t>
  </si>
  <si>
    <t>Смазать</t>
  </si>
  <si>
    <t>База данных</t>
  </si>
  <si>
    <t>Исключение позиции из базы данных</t>
  </si>
  <si>
    <t>Сброс базы данных</t>
  </si>
  <si>
    <t>Dorzucanie pozycje do wykazu</t>
  </si>
  <si>
    <t>Notatka (maksymalnie 20 znaków)</t>
  </si>
  <si>
    <t>Anulować</t>
  </si>
  <si>
    <t>Włożyć</t>
  </si>
  <si>
    <t>Formularz nie można w ten sposób zamknąć!!!</t>
  </si>
  <si>
    <t>Zapis dokonan z powodzeniem</t>
  </si>
  <si>
    <t>Wykreślać</t>
  </si>
  <si>
    <t>Wykaz</t>
  </si>
  <si>
    <t>Wykreślać pozycje z wykazu</t>
  </si>
  <si>
    <t>Wykreślić z wykazu</t>
  </si>
  <si>
    <t>Adjonction d´un article dans la base de données</t>
  </si>
  <si>
    <t>Indication de l´article</t>
  </si>
  <si>
    <t>Note (20 caractères au maximum)</t>
  </si>
  <si>
    <t>Annuler</t>
  </si>
  <si>
    <t>Insérer</t>
  </si>
  <si>
    <t>Il n´est pas possible de fermer le formulaire de cette façon !!!</t>
  </si>
  <si>
    <t>Inscription réalisée avec succès</t>
  </si>
  <si>
    <t>Effacer</t>
  </si>
  <si>
    <t>Base de données</t>
  </si>
  <si>
    <t>Effacement d´un article</t>
  </si>
  <si>
    <t>Effacer la base de données</t>
  </si>
  <si>
    <t>Tétel hozzáadása az adatbázishoz</t>
  </si>
  <si>
    <t>Megrendelési szám</t>
  </si>
  <si>
    <t>Megjegyzés (maximum 20 karakter):</t>
  </si>
  <si>
    <t>Mégse</t>
  </si>
  <si>
    <t>Beszúr</t>
  </si>
  <si>
    <t>Így nem lehet bezárni a programot !!!</t>
  </si>
  <si>
    <t>A beírás sikeres volt</t>
  </si>
  <si>
    <t>Töröl</t>
  </si>
  <si>
    <t>Adatbázis</t>
  </si>
  <si>
    <t>Tétel törlése az adatbázisból</t>
  </si>
  <si>
    <t>Adatbázis törlése</t>
  </si>
  <si>
    <t>Lägg objekt i databasen</t>
  </si>
  <si>
    <t>Notering (upp till 20 tecken)</t>
  </si>
  <si>
    <t>Ångra</t>
  </si>
  <si>
    <t>Lägg till</t>
  </si>
  <si>
    <t>Invärde korrekta</t>
  </si>
  <si>
    <t>Ta bort</t>
  </si>
  <si>
    <t>Databas</t>
  </si>
  <si>
    <t>Ta bort ett objekt från databas</t>
  </si>
  <si>
    <t>Radera data</t>
  </si>
  <si>
    <t>Adăugare articol în baza de date</t>
  </si>
  <si>
    <t>Observaţii (până la 20 de caractere)</t>
  </si>
  <si>
    <t>Anulare</t>
  </si>
  <si>
    <t xml:space="preserve">Adăugare </t>
  </si>
  <si>
    <t>Fereastra nu poate fi închisă în acest  mod !!!</t>
  </si>
  <si>
    <t>Valorile de intrare au fost procesate cu succes</t>
  </si>
  <si>
    <t>Şterge</t>
  </si>
  <si>
    <t>Bază de date</t>
  </si>
  <si>
    <t>Ştergerea unui articol din baza de date</t>
  </si>
  <si>
    <t>Ştergere baza de date</t>
  </si>
  <si>
    <t>Допълване на позиции в базата данни</t>
  </si>
  <si>
    <t>Забележка (максимално 20 знака):</t>
  </si>
  <si>
    <t>Анулирай</t>
  </si>
  <si>
    <t>Въведи</t>
  </si>
  <si>
    <t>Формулярът не може да се затвори по този начин !!!</t>
  </si>
  <si>
    <t>Успешно извършено записване</t>
  </si>
  <si>
    <t>Изтрий</t>
  </si>
  <si>
    <t>База данни</t>
  </si>
  <si>
    <t>Изтрий позиции в база данни</t>
  </si>
  <si>
    <t>Изтрий база данни</t>
  </si>
  <si>
    <t>lblTypPopis</t>
  </si>
  <si>
    <t>lblVýškaPopis</t>
  </si>
  <si>
    <t>lblDélka Popis</t>
  </si>
  <si>
    <t>lblVýkonPopis</t>
  </si>
  <si>
    <t>lblKodArtikluPopis</t>
  </si>
  <si>
    <t>cmdZrusit</t>
  </si>
  <si>
    <t>cmdOK</t>
  </si>
  <si>
    <t>lblNadpis</t>
  </si>
  <si>
    <t>lblPoznamka</t>
  </si>
  <si>
    <t>lblZapisProveden</t>
  </si>
  <si>
    <t>cmdVlozit</t>
  </si>
  <si>
    <t>cmdNelze</t>
  </si>
  <si>
    <t>KLC</t>
  </si>
  <si>
    <t>KLCM</t>
  </si>
  <si>
    <t>KRC</t>
  </si>
  <si>
    <t>KRCM</t>
  </si>
  <si>
    <t>KLT</t>
  </si>
  <si>
    <t>KLTM</t>
  </si>
  <si>
    <t>KRT</t>
  </si>
  <si>
    <t>KRTM</t>
  </si>
  <si>
    <t>KLM</t>
  </si>
  <si>
    <t>KLMM</t>
  </si>
  <si>
    <t>KRM</t>
  </si>
  <si>
    <t>KRMM</t>
  </si>
  <si>
    <t>KLXM</t>
  </si>
  <si>
    <t>KRXM</t>
  </si>
  <si>
    <t>lblZpusobPripojeniPopis</t>
  </si>
  <si>
    <t>Způsob připojení</t>
  </si>
  <si>
    <t>cmdVymazat</t>
  </si>
  <si>
    <t>lblVymaz</t>
  </si>
  <si>
    <t>Povrchová úprava</t>
  </si>
  <si>
    <t>Provedení</t>
  </si>
  <si>
    <t>LINEAR</t>
  </si>
  <si>
    <t>RONDO</t>
  </si>
  <si>
    <t>CHROM</t>
  </si>
  <si>
    <t>BARVA</t>
  </si>
  <si>
    <t>Jednotka výkonu:</t>
  </si>
  <si>
    <t>spodní zdola dolů</t>
  </si>
  <si>
    <t>lblPridatdoDB</t>
  </si>
  <si>
    <t>lblZobrazitDatabazi</t>
  </si>
  <si>
    <t>Version</t>
  </si>
  <si>
    <t>Surface finish</t>
  </si>
  <si>
    <t>Ausführung</t>
  </si>
  <si>
    <t>Oberflächenbehandlung</t>
  </si>
  <si>
    <t>Wykonanie</t>
  </si>
  <si>
    <t>Wykończenie powierzchni</t>
  </si>
  <si>
    <t>Versiune</t>
  </si>
  <si>
    <t>Finisajul suprafeţei</t>
  </si>
  <si>
    <t>CHROME</t>
  </si>
  <si>
    <t>ХРОМ</t>
  </si>
  <si>
    <t>lblZpet</t>
  </si>
  <si>
    <t>lblVymazDatabaze</t>
  </si>
  <si>
    <t>lblExportDatabaze</t>
  </si>
  <si>
    <t>České</t>
  </si>
  <si>
    <t>NF</t>
  </si>
  <si>
    <t>české</t>
  </si>
  <si>
    <t xml:space="preserve">Исполнение      </t>
  </si>
  <si>
    <t>Oтделка поверности</t>
  </si>
  <si>
    <t>VÝKONY</t>
  </si>
  <si>
    <t>Ytfinish</t>
  </si>
  <si>
    <t>Mode de raccordement</t>
  </si>
  <si>
    <t>Tous droits de modification technique réservés.</t>
  </si>
  <si>
    <t>Puissance dénommées sont valables pour le pays :</t>
  </si>
  <si>
    <t>Unité de puissance :</t>
  </si>
  <si>
    <t>inférieur, du bes vers le bas</t>
  </si>
  <si>
    <t>bilatéral de haut</t>
  </si>
  <si>
    <t>Réalisation</t>
  </si>
  <si>
    <t>Traitement de la surface</t>
  </si>
  <si>
    <t>COULEUR</t>
  </si>
  <si>
    <t>Felületkezelés</t>
  </si>
  <si>
    <t>De weergegeven vermogens zijn geldig in volgende landen:</t>
  </si>
  <si>
    <t>België / Nederland</t>
  </si>
  <si>
    <t>Eenheid van vermogen:</t>
  </si>
  <si>
    <t>onderaansluiting</t>
  </si>
  <si>
    <t>dubbelzijdig van bovenaan</t>
  </si>
  <si>
    <t>Afwerkingslaag</t>
  </si>
  <si>
    <t>KLEUR</t>
  </si>
  <si>
    <t>CHROOM</t>
  </si>
  <si>
    <t>Warmteafgiftes volgens EN 442</t>
  </si>
  <si>
    <t>Hoogte</t>
  </si>
  <si>
    <t>Lengte</t>
  </si>
  <si>
    <t>van</t>
  </si>
  <si>
    <t>tot</t>
  </si>
  <si>
    <t>Warmteafgifte</t>
  </si>
  <si>
    <t>Temperatuur:</t>
  </si>
  <si>
    <t>Verkeerde temperatuur verhouding !!!</t>
  </si>
  <si>
    <t>Gedetailleerde selectie</t>
  </si>
  <si>
    <t>Ingeven van waarden</t>
  </si>
  <si>
    <t>Waarden foutief ingegeven !!!</t>
  </si>
  <si>
    <t>Type aansluiting</t>
  </si>
  <si>
    <t>Het recht blijft behouden op technische wijzigingen.</t>
  </si>
  <si>
    <t>Versie</t>
  </si>
  <si>
    <t>Toevoegen in database</t>
  </si>
  <si>
    <t>Bent u zeker om de database te verwijderen ?</t>
  </si>
  <si>
    <t>Aantal artikelen in de database:</t>
  </si>
  <si>
    <t>Toon de database</t>
  </si>
  <si>
    <t>Terug naar menu</t>
  </si>
  <si>
    <t>Exporteer database</t>
  </si>
  <si>
    <t>Bestelnummer</t>
  </si>
  <si>
    <t>Hoogte [mm]</t>
  </si>
  <si>
    <t>Lengte [mm]</t>
  </si>
  <si>
    <t>Opmerking</t>
  </si>
  <si>
    <t>Identificatie:</t>
  </si>
  <si>
    <t>De selectie heeft geen correcte data !!!</t>
  </si>
  <si>
    <t>Toevoegen van artikel in database</t>
  </si>
  <si>
    <t>Opmerking (maximum 20 karakters)</t>
  </si>
  <si>
    <t>Annuleren</t>
  </si>
  <si>
    <t>Toevoegen</t>
  </si>
  <si>
    <t>Afsluiten van het document niet mogelijk !!!</t>
  </si>
  <si>
    <t>Ingave succesvol beëindigd</t>
  </si>
  <si>
    <t>Verwijder</t>
  </si>
  <si>
    <t>Verwijder een artikel uit de database</t>
  </si>
  <si>
    <t>Verwijder de database</t>
  </si>
  <si>
    <t>Typ av anslutning</t>
  </si>
  <si>
    <t xml:space="preserve">Anslutning botten </t>
  </si>
  <si>
    <t>Dubbelsidig från topp och ner</t>
  </si>
  <si>
    <t>Krom</t>
  </si>
  <si>
    <t>alle</t>
  </si>
  <si>
    <t>Effekt avgivelse iht EN442</t>
  </si>
  <si>
    <t>Høyde</t>
  </si>
  <si>
    <t>Lengde</t>
  </si>
  <si>
    <t>fra</t>
  </si>
  <si>
    <t>til</t>
  </si>
  <si>
    <t>Effekt avgivelse</t>
  </si>
  <si>
    <t>Temperatur :</t>
  </si>
  <si>
    <t>Feil temperatur fall !!!</t>
  </si>
  <si>
    <t>Detaljert valg</t>
  </si>
  <si>
    <t>velg temperaturfall</t>
  </si>
  <si>
    <t>Feil verdi innskrevet !!!</t>
  </si>
  <si>
    <t>Type anslutning</t>
  </si>
  <si>
    <t>Med reservasjon for tekniske endringer.</t>
  </si>
  <si>
    <t>Nevnte effekter er gyldig bare i Norge.</t>
  </si>
  <si>
    <t>Anslutning fra bunnen</t>
  </si>
  <si>
    <t>Dobbelsidig fra topp og ned</t>
  </si>
  <si>
    <t>versjon</t>
  </si>
  <si>
    <t>Legg til i databasen</t>
  </si>
  <si>
    <t>Ønsker virkelig du å tømme databasen ?</t>
  </si>
  <si>
    <t>Antal artikler i databasen</t>
  </si>
  <si>
    <t>Vis databasen</t>
  </si>
  <si>
    <t>Tilbake til menyen</t>
  </si>
  <si>
    <t>Eksporterte verdier</t>
  </si>
  <si>
    <t xml:space="preserve">Ordre nr. </t>
  </si>
  <si>
    <t>Tekst</t>
  </si>
  <si>
    <t>Identifikasjon :</t>
  </si>
  <si>
    <t>Valgt celle inneholder feil data  !!!</t>
  </si>
  <si>
    <t>Legg produktet i databasen</t>
  </si>
  <si>
    <t>Tekst (maks 20 tegn)</t>
  </si>
  <si>
    <t>Angre</t>
  </si>
  <si>
    <t>Legg til</t>
  </si>
  <si>
    <t>Inndata er korrekt</t>
  </si>
  <si>
    <t>Ta bort en enhet fra databasen</t>
  </si>
  <si>
    <t>Slett inndata</t>
  </si>
  <si>
    <t>Мярна единица за мощност:</t>
  </si>
  <si>
    <t>Изпълнение</t>
  </si>
  <si>
    <t>Повърхностно покритие</t>
  </si>
  <si>
    <t>ЦВЯТ</t>
  </si>
  <si>
    <t>KSC</t>
  </si>
  <si>
    <t>01/2017</t>
  </si>
  <si>
    <t>KORALUX NEO</t>
  </si>
  <si>
    <t>English</t>
  </si>
  <si>
    <t>Français</t>
  </si>
  <si>
    <t>Metrický systém</t>
  </si>
  <si>
    <t>Imperiální systém</t>
  </si>
  <si>
    <t>Metric system</t>
  </si>
  <si>
    <t>Imperial system</t>
  </si>
  <si>
    <t>Le système métrique</t>
  </si>
  <si>
    <t>Le système impérial</t>
  </si>
  <si>
    <t>Celsius</t>
  </si>
  <si>
    <t>Fahrenheit</t>
  </si>
  <si>
    <t>mm</t>
  </si>
  <si>
    <t>inch</t>
  </si>
  <si>
    <t>KLN</t>
  </si>
  <si>
    <t>KLN-110050-00-10</t>
  </si>
  <si>
    <t>KLN-110060-00-10</t>
  </si>
  <si>
    <t>KLN-142050-00-10</t>
  </si>
  <si>
    <t>KLN-142060-00-10</t>
  </si>
  <si>
    <t>KLN-170050-00-10</t>
  </si>
  <si>
    <t>KLN-170060-00-10</t>
  </si>
  <si>
    <t>LOGARITMICKÝ VÝPOČET</t>
  </si>
  <si>
    <t>ARITMETICKÝ VÝPOČET</t>
  </si>
  <si>
    <t>C =</t>
  </si>
  <si>
    <r>
      <rPr>
        <sz val="11"/>
        <color rgb="FF00B0F0"/>
        <rFont val="Calibri"/>
        <family val="2"/>
        <charset val="238"/>
        <scheme val="minor"/>
      </rPr>
      <t xml:space="preserve">1) </t>
    </r>
    <r>
      <rPr>
        <sz val="11"/>
        <color theme="1"/>
        <rFont val="Calibri"/>
        <family val="2"/>
        <charset val="238"/>
        <scheme val="minor"/>
      </rPr>
      <t>ARITMETICKÝ teplotní rozdíl</t>
    </r>
  </si>
  <si>
    <t>+</t>
  </si>
  <si>
    <t>-</t>
  </si>
  <si>
    <t>=</t>
  </si>
  <si>
    <t>K</t>
  </si>
  <si>
    <t>*</t>
  </si>
  <si>
    <t>(</t>
  </si>
  <si>
    <t>)</t>
  </si>
  <si>
    <r>
      <rPr>
        <sz val="11"/>
        <color rgb="FF00B0F0"/>
        <rFont val="Calibri"/>
        <family val="2"/>
        <charset val="238"/>
        <scheme val="minor"/>
      </rPr>
      <t xml:space="preserve">2) </t>
    </r>
    <r>
      <rPr>
        <sz val="11"/>
        <color theme="1"/>
        <rFont val="Calibri"/>
        <family val="2"/>
        <charset val="238"/>
        <scheme val="minor"/>
      </rPr>
      <t>LOGARITMICKÝ teplotní rozdíl</t>
    </r>
  </si>
  <si>
    <t>ln</t>
  </si>
  <si>
    <r>
      <t xml:space="preserve">LOGARITMICKÝ ROZDÍL TEPLOT  </t>
    </r>
    <r>
      <rPr>
        <b/>
        <sz val="11"/>
        <color theme="1"/>
        <rFont val="Calibri"/>
        <family val="2"/>
        <charset val="238"/>
        <scheme val="minor"/>
      </rPr>
      <t>Δt</t>
    </r>
    <r>
      <rPr>
        <b/>
        <vertAlign val="subscript"/>
        <sz val="11"/>
        <color theme="1"/>
        <rFont val="Calibri"/>
        <family val="2"/>
        <charset val="238"/>
        <scheme val="minor"/>
      </rPr>
      <t>ln,N</t>
    </r>
  </si>
  <si>
    <r>
      <t xml:space="preserve">ARITMETICKÝ ROZDÍL TEPLOT </t>
    </r>
    <r>
      <rPr>
        <b/>
        <sz val="11"/>
        <color theme="1"/>
        <rFont val="Calibri"/>
        <family val="2"/>
        <charset val="238"/>
      </rPr>
      <t>Δt</t>
    </r>
    <r>
      <rPr>
        <b/>
        <vertAlign val="subscript"/>
        <sz val="11"/>
        <color theme="1"/>
        <rFont val="Calibri"/>
        <family val="2"/>
        <charset val="238"/>
      </rPr>
      <t>N</t>
    </r>
  </si>
  <si>
    <t>Deutsch</t>
  </si>
  <si>
    <t>Русский</t>
  </si>
  <si>
    <t>Polski</t>
  </si>
  <si>
    <t>Magyar</t>
  </si>
  <si>
    <t>Svenska</t>
  </si>
  <si>
    <t>Română</t>
  </si>
  <si>
    <t>Български</t>
  </si>
  <si>
    <t>Nederlands</t>
  </si>
  <si>
    <t>Norsk</t>
  </si>
  <si>
    <t>–től</t>
  </si>
  <si>
    <t>–ig</t>
  </si>
  <si>
    <t>Česká republika</t>
  </si>
  <si>
    <t>UK, USA</t>
  </si>
  <si>
    <t>Deutschland, Österreich</t>
  </si>
  <si>
    <t>Россия</t>
  </si>
  <si>
    <t>Polska</t>
  </si>
  <si>
    <t>France</t>
  </si>
  <si>
    <t>Magyarország</t>
  </si>
  <si>
    <t>Sverige</t>
  </si>
  <si>
    <t>România</t>
  </si>
  <si>
    <t>България</t>
  </si>
  <si>
    <t>Norge</t>
  </si>
  <si>
    <t>Metrisches System</t>
  </si>
  <si>
    <t>Imperiales System</t>
  </si>
  <si>
    <t>Метрическая система</t>
  </si>
  <si>
    <t>Имперская система</t>
  </si>
  <si>
    <t>System metryczny</t>
  </si>
  <si>
    <t>System imperialny</t>
  </si>
  <si>
    <t>Metrikus rendszer</t>
  </si>
  <si>
    <t>Birodalmi rendszer</t>
  </si>
  <si>
    <t>Metriska systemet</t>
  </si>
  <si>
    <t>Imperiala systemet</t>
  </si>
  <si>
    <t>Sistem metric</t>
  </si>
  <si>
    <t>Sistem imperial</t>
  </si>
  <si>
    <t>Метрична система</t>
  </si>
  <si>
    <t>Имперска система</t>
  </si>
  <si>
    <t>Metrisch systeem</t>
  </si>
  <si>
    <t>Imperiaal systeem</t>
  </si>
  <si>
    <t>Metrisk system</t>
  </si>
  <si>
    <t>Imperialistisk system</t>
  </si>
  <si>
    <t>Prix ( )</t>
  </si>
  <si>
    <t>Ár ( )</t>
  </si>
  <si>
    <t>Pris ( )</t>
  </si>
  <si>
    <t>Preţ ( )</t>
  </si>
  <si>
    <t>Цена ( )</t>
  </si>
  <si>
    <t>Prijs ( )</t>
  </si>
  <si>
    <t>Výška [mm]</t>
  </si>
  <si>
    <t>Délka [mm]</t>
  </si>
  <si>
    <t>Height [mm]</t>
  </si>
  <si>
    <t>Length [mm]</t>
  </si>
  <si>
    <t>Hauteur [mm]</t>
  </si>
  <si>
    <t>Longueur [mm]</t>
  </si>
  <si>
    <t>Высота [mm]</t>
  </si>
  <si>
    <t>Длина [mm]</t>
  </si>
  <si>
    <t>Höjd [mm]</t>
  </si>
  <si>
    <t>Längd [mm]</t>
  </si>
  <si>
    <t>Høyde [mm]</t>
  </si>
  <si>
    <t>Lengde [mm]</t>
  </si>
  <si>
    <t>Formuläret kan inte stängas på detta sätt!!!</t>
  </si>
  <si>
    <t>Skjemaet kan ikke lukkes på denne måten!!!</t>
  </si>
  <si>
    <t>Overflatebehandling</t>
  </si>
  <si>
    <t>CROMAT</t>
  </si>
  <si>
    <t>diagonala de sus</t>
  </si>
  <si>
    <t>de jos în jos</t>
  </si>
  <si>
    <t>Unitatea de putere:</t>
  </si>
  <si>
    <t>Metoda conexiunii</t>
  </si>
  <si>
    <t>FARGE</t>
  </si>
  <si>
    <t>Csatlakozási mód</t>
  </si>
  <si>
    <t>alsó alsó lefelé</t>
  </si>
  <si>
    <t>átlósan felülről</t>
  </si>
  <si>
    <t>Végrehajtás</t>
  </si>
  <si>
    <t>SZÍN</t>
  </si>
  <si>
    <t>Heat unit:</t>
  </si>
  <si>
    <t>Hőegység:</t>
  </si>
  <si>
    <t>Värme enhet:</t>
  </si>
  <si>
    <t>Varme enhet:</t>
  </si>
  <si>
    <t>Jednostka ciepła:</t>
  </si>
  <si>
    <t>Тепловая единица:</t>
  </si>
  <si>
    <t>Unité de chaleur:</t>
  </si>
  <si>
    <t>CULOARE</t>
  </si>
  <si>
    <t>Coating</t>
  </si>
  <si>
    <t>BESCHICHTUNG</t>
  </si>
  <si>
    <t>КРАСКА</t>
  </si>
  <si>
    <t>FÄRGe</t>
  </si>
  <si>
    <t>FARBA</t>
  </si>
  <si>
    <t>Посмотреть базу данных</t>
  </si>
  <si>
    <t>Хотите сбросить базу данных?</t>
  </si>
  <si>
    <t>Koralux_2024*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</si>
</sst>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K_č_-;\-* #,##0.00\ _K_č_-;_-* &quot;-&quot;??\ _K_č_-;_-@_-"/>
    <numFmt numFmtId="165" formatCode="0.0000"/>
    <numFmt numFmtId="166" formatCode="0&quot;.&quot;"/>
    <numFmt numFmtId="167" formatCode="#,##0.0000"/>
  </numFmts>
  <fonts count="2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sz val="10"/>
      <name val="Calibri"/>
      <family val="2"/>
      <charset val="238"/>
    </font>
    <font>
      <b/>
      <sz val="10"/>
      <name val="Symbol"/>
      <family val="1"/>
      <charset val="2"/>
    </font>
    <font>
      <b/>
      <sz val="10"/>
      <name val="Calibri"/>
      <family val="2"/>
      <charset val="238"/>
    </font>
    <font>
      <sz val="10"/>
      <color theme="0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sz val="10"/>
      <name val="Arial CE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1"/>
      <color rgb="FF00B0F0"/>
      <name val="Calibri"/>
      <family val="2"/>
      <charset val="238"/>
      <scheme val="minor"/>
    </font>
    <font>
      <b/>
      <vertAlign val="subscript"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vertAlign val="subscript"/>
      <sz val="11"/>
      <color theme="1"/>
      <name val="Calibri"/>
      <family val="2"/>
      <charset val="238"/>
    </font>
    <font>
      <sz val="10"/>
      <color theme="1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</fills>
  <borders count="8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 style="dashed">
        <color indexed="64"/>
      </diagonal>
    </border>
    <border diagonalUp="1" diagonalDown="1"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 style="dashed">
        <color indexed="64"/>
      </diagonal>
    </border>
    <border diagonalUp="1" diagonalDown="1"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 style="dashed">
        <color indexed="64"/>
      </diagonal>
    </border>
    <border diagonalUp="1" diagonalDown="1"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dashed">
        <color indexed="64"/>
      </diagonal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dashed">
        <color indexed="64"/>
      </diagonal>
    </border>
    <border diagonalUp="1" diagonalDown="1"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 style="dashed">
        <color indexed="64"/>
      </diagonal>
    </border>
    <border diagonalUp="1" diagonalDown="1"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 style="dashed">
        <color indexed="64"/>
      </diagonal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 style="dashed">
        <color indexed="64"/>
      </diagonal>
    </border>
    <border diagonalUp="1" diagonalDown="1"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 style="dashed">
        <color indexed="64"/>
      </diagonal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rgb="FF0070C0"/>
      </left>
      <right/>
      <top style="thin">
        <color rgb="FF0070C0"/>
      </top>
      <bottom style="thin">
        <color theme="3" tint="0.39994506668294322"/>
      </bottom>
      <diagonal/>
    </border>
    <border>
      <left/>
      <right/>
      <top style="thin">
        <color rgb="FF0070C0"/>
      </top>
      <bottom style="thin">
        <color theme="3" tint="0.39994506668294322"/>
      </bottom>
      <diagonal/>
    </border>
    <border>
      <left/>
      <right style="thin">
        <color rgb="FF0070C0"/>
      </right>
      <top style="thin">
        <color rgb="FF0070C0"/>
      </top>
      <bottom style="thin">
        <color theme="3" tint="0.39994506668294322"/>
      </bottom>
      <diagonal/>
    </border>
    <border>
      <left style="thin">
        <color rgb="FF0070C0"/>
      </left>
      <right/>
      <top/>
      <bottom/>
      <diagonal/>
    </border>
    <border>
      <left/>
      <right style="thin">
        <color rgb="FF0070C0"/>
      </right>
      <top/>
      <bottom/>
      <diagonal/>
    </border>
    <border>
      <left style="thin">
        <color rgb="FF0070C0"/>
      </left>
      <right/>
      <top/>
      <bottom style="thin">
        <color rgb="FF0070C0"/>
      </bottom>
      <diagonal/>
    </border>
    <border>
      <left/>
      <right/>
      <top/>
      <bottom style="thin">
        <color rgb="FF0070C0"/>
      </bottom>
      <diagonal/>
    </border>
    <border>
      <left/>
      <right style="thin">
        <color rgb="FF0070C0"/>
      </right>
      <top/>
      <bottom style="thin">
        <color rgb="FF0070C0"/>
      </bottom>
      <diagonal/>
    </border>
    <border>
      <left/>
      <right style="thin">
        <color theme="4" tint="0.59996337778862885"/>
      </right>
      <top/>
      <bottom style="thin">
        <color rgb="FF0070C0"/>
      </bottom>
      <diagonal/>
    </border>
    <border>
      <left style="thin">
        <color theme="4" tint="0.59996337778862885"/>
      </left>
      <right style="thin">
        <color theme="4" tint="0.59996337778862885"/>
      </right>
      <top/>
      <bottom style="thin">
        <color rgb="FF0070C0"/>
      </bottom>
      <diagonal/>
    </border>
    <border>
      <left style="thin">
        <color theme="4" tint="0.59996337778862885"/>
      </left>
      <right/>
      <top/>
      <bottom style="thin">
        <color rgb="FF0070C0"/>
      </bottom>
      <diagonal/>
    </border>
    <border>
      <left/>
      <right/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 diagonalUp="1" diagonalDown="1">
      <left style="medium">
        <color indexed="64"/>
      </left>
      <right style="hair">
        <color indexed="64"/>
      </right>
      <top/>
      <bottom style="hair">
        <color indexed="64"/>
      </bottom>
      <diagonal style="dashed">
        <color indexed="64"/>
      </diagonal>
    </border>
    <border diagonalUp="1" diagonalDown="1">
      <left style="hair">
        <color indexed="64"/>
      </left>
      <right style="hair">
        <color indexed="64"/>
      </right>
      <top/>
      <bottom style="hair">
        <color indexed="64"/>
      </bottom>
      <diagonal style="dashed">
        <color indexed="64"/>
      </diagonal>
    </border>
    <border diagonalUp="1" diagonalDown="1">
      <left style="hair">
        <color indexed="64"/>
      </left>
      <right style="medium">
        <color indexed="64"/>
      </right>
      <top/>
      <bottom style="hair">
        <color indexed="64"/>
      </bottom>
      <diagonal style="dashed">
        <color indexed="64"/>
      </diagonal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 diagonalUp="1" diagonalDown="1">
      <left style="medium">
        <color indexed="64"/>
      </left>
      <right style="hair">
        <color indexed="64"/>
      </right>
      <top style="hair">
        <color indexed="64"/>
      </top>
      <bottom/>
      <diagonal style="dashed">
        <color indexed="64"/>
      </diagonal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/>
      <diagonal style="dashed">
        <color indexed="64"/>
      </diagonal>
    </border>
    <border diagonalUp="1" diagonalDown="1">
      <left style="hair">
        <color indexed="64"/>
      </left>
      <right style="medium">
        <color indexed="64"/>
      </right>
      <top style="hair">
        <color indexed="64"/>
      </top>
      <bottom/>
      <diagonal style="dashed">
        <color indexed="64"/>
      </diagonal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1" fillId="0" borderId="0"/>
    <xf numFmtId="0" fontId="13" fillId="0" borderId="0"/>
    <xf numFmtId="164" fontId="1" fillId="0" borderId="0" applyFont="0" applyFill="0" applyBorder="0" applyAlignment="0" applyProtection="0"/>
  </cellStyleXfs>
  <cellXfs count="275">
    <xf numFmtId="0" fontId="0" fillId="0" borderId="0" xfId="0"/>
    <xf numFmtId="3" fontId="4" fillId="0" borderId="10" xfId="2" applyNumberFormat="1" applyFont="1" applyBorder="1" applyAlignment="1" applyProtection="1">
      <alignment horizontal="center" vertical="center"/>
      <protection hidden="1"/>
    </xf>
    <xf numFmtId="3" fontId="4" fillId="0" borderId="16" xfId="2" applyNumberFormat="1" applyFont="1" applyBorder="1" applyAlignment="1" applyProtection="1">
      <alignment horizontal="center" vertical="center"/>
      <protection hidden="1"/>
    </xf>
    <xf numFmtId="3" fontId="4" fillId="0" borderId="17" xfId="2" applyNumberFormat="1" applyFont="1" applyBorder="1" applyAlignment="1" applyProtection="1">
      <alignment horizontal="center" vertical="center"/>
      <protection hidden="1"/>
    </xf>
    <xf numFmtId="3" fontId="4" fillId="0" borderId="18" xfId="2" applyNumberFormat="1" applyFont="1" applyBorder="1" applyAlignment="1" applyProtection="1">
      <alignment horizontal="center" vertical="center"/>
      <protection hidden="1"/>
    </xf>
    <xf numFmtId="3" fontId="4" fillId="0" borderId="19" xfId="2" applyNumberFormat="1" applyFont="1" applyBorder="1" applyAlignment="1" applyProtection="1">
      <alignment horizontal="center" vertical="center"/>
      <protection hidden="1"/>
    </xf>
    <xf numFmtId="3" fontId="4" fillId="0" borderId="20" xfId="2" applyNumberFormat="1" applyFont="1" applyBorder="1" applyAlignment="1" applyProtection="1">
      <alignment horizontal="center" vertical="center"/>
      <protection hidden="1"/>
    </xf>
    <xf numFmtId="3" fontId="4" fillId="0" borderId="21" xfId="2" applyNumberFormat="1" applyFont="1" applyBorder="1" applyAlignment="1" applyProtection="1">
      <alignment horizontal="center" vertical="center"/>
      <protection hidden="1"/>
    </xf>
    <xf numFmtId="3" fontId="4" fillId="0" borderId="22" xfId="2" applyNumberFormat="1" applyFont="1" applyBorder="1" applyAlignment="1" applyProtection="1">
      <alignment horizontal="center" vertical="center"/>
      <protection hidden="1"/>
    </xf>
    <xf numFmtId="3" fontId="4" fillId="6" borderId="23" xfId="2" applyNumberFormat="1" applyFont="1" applyFill="1" applyBorder="1" applyAlignment="1" applyProtection="1">
      <alignment horizontal="center" vertical="center"/>
      <protection hidden="1"/>
    </xf>
    <xf numFmtId="3" fontId="4" fillId="6" borderId="24" xfId="2" applyNumberFormat="1" applyFont="1" applyFill="1" applyBorder="1" applyAlignment="1" applyProtection="1">
      <alignment horizontal="center" vertical="center"/>
      <protection hidden="1"/>
    </xf>
    <xf numFmtId="3" fontId="4" fillId="6" borderId="25" xfId="2" applyNumberFormat="1" applyFont="1" applyFill="1" applyBorder="1" applyAlignment="1" applyProtection="1">
      <alignment horizontal="center" vertical="center"/>
      <protection hidden="1"/>
    </xf>
    <xf numFmtId="3" fontId="4" fillId="0" borderId="26" xfId="2" applyNumberFormat="1" applyFont="1" applyBorder="1" applyAlignment="1" applyProtection="1">
      <alignment horizontal="center" vertical="center"/>
      <protection hidden="1"/>
    </xf>
    <xf numFmtId="3" fontId="4" fillId="0" borderId="27" xfId="2" applyNumberFormat="1" applyFont="1" applyBorder="1" applyAlignment="1" applyProtection="1">
      <alignment horizontal="center" vertical="center"/>
      <protection hidden="1"/>
    </xf>
    <xf numFmtId="3" fontId="4" fillId="0" borderId="28" xfId="2" applyNumberFormat="1" applyFont="1" applyBorder="1" applyAlignment="1" applyProtection="1">
      <alignment horizontal="center" vertical="center"/>
      <protection hidden="1"/>
    </xf>
    <xf numFmtId="1" fontId="4" fillId="6" borderId="29" xfId="2" applyNumberFormat="1" applyFont="1" applyFill="1" applyBorder="1" applyAlignment="1" applyProtection="1">
      <alignment horizontal="center" vertical="center"/>
      <protection hidden="1"/>
    </xf>
    <xf numFmtId="1" fontId="4" fillId="6" borderId="30" xfId="2" applyNumberFormat="1" applyFont="1" applyFill="1" applyBorder="1" applyAlignment="1" applyProtection="1">
      <alignment horizontal="center" vertical="center"/>
      <protection hidden="1"/>
    </xf>
    <xf numFmtId="1" fontId="4" fillId="6" borderId="31" xfId="2" applyNumberFormat="1" applyFont="1" applyFill="1" applyBorder="1" applyAlignment="1" applyProtection="1">
      <alignment horizontal="center" vertical="center"/>
      <protection hidden="1"/>
    </xf>
    <xf numFmtId="0" fontId="0" fillId="0" borderId="0" xfId="0" applyProtection="1">
      <protection hidden="1"/>
    </xf>
    <xf numFmtId="0" fontId="5" fillId="0" borderId="1" xfId="1" applyFont="1" applyBorder="1" applyAlignment="1" applyProtection="1">
      <alignment horizontal="centerContinuous" vertical="center"/>
      <protection hidden="1"/>
    </xf>
    <xf numFmtId="0" fontId="5" fillId="0" borderId="2" xfId="1" applyFont="1" applyBorder="1" applyAlignment="1" applyProtection="1">
      <alignment horizontal="centerContinuous" vertical="center"/>
      <protection hidden="1"/>
    </xf>
    <xf numFmtId="0" fontId="5" fillId="0" borderId="3" xfId="1" applyFont="1" applyBorder="1" applyAlignment="1" applyProtection="1">
      <alignment horizontal="centerContinuous" vertical="center"/>
      <protection hidden="1"/>
    </xf>
    <xf numFmtId="0" fontId="4" fillId="0" borderId="4" xfId="1" applyFont="1" applyBorder="1" applyAlignment="1" applyProtection="1">
      <alignment vertical="center"/>
      <protection hidden="1"/>
    </xf>
    <xf numFmtId="0" fontId="4" fillId="0" borderId="0" xfId="1" applyFont="1" applyAlignment="1" applyProtection="1">
      <alignment horizontal="right" vertical="center"/>
      <protection hidden="1"/>
    </xf>
    <xf numFmtId="3" fontId="5" fillId="2" borderId="0" xfId="1" applyNumberFormat="1" applyFont="1" applyFill="1" applyAlignment="1" applyProtection="1">
      <alignment horizontal="center" vertical="center"/>
      <protection locked="0" hidden="1"/>
    </xf>
    <xf numFmtId="0" fontId="4" fillId="0" borderId="0" xfId="1" applyFont="1" applyAlignment="1" applyProtection="1">
      <alignment horizontal="center" vertical="center"/>
      <protection hidden="1"/>
    </xf>
    <xf numFmtId="3" fontId="4" fillId="0" borderId="8" xfId="1" applyNumberFormat="1" applyFont="1" applyBorder="1" applyAlignment="1" applyProtection="1">
      <alignment horizontal="left" vertical="center"/>
      <protection hidden="1"/>
    </xf>
    <xf numFmtId="0" fontId="4" fillId="0" borderId="8" xfId="1" applyFont="1" applyBorder="1" applyAlignment="1" applyProtection="1">
      <alignment horizontal="left" vertical="center"/>
      <protection hidden="1"/>
    </xf>
    <xf numFmtId="0" fontId="4" fillId="0" borderId="5" xfId="1" applyFont="1" applyBorder="1" applyAlignment="1" applyProtection="1">
      <alignment vertical="center"/>
      <protection hidden="1"/>
    </xf>
    <xf numFmtId="0" fontId="4" fillId="0" borderId="6" xfId="1" applyFont="1" applyBorder="1" applyAlignment="1" applyProtection="1">
      <alignment vertical="center"/>
      <protection hidden="1"/>
    </xf>
    <xf numFmtId="0" fontId="4" fillId="0" borderId="6" xfId="1" applyFont="1" applyBorder="1" applyAlignment="1" applyProtection="1">
      <alignment horizontal="right" vertical="center"/>
      <protection hidden="1"/>
    </xf>
    <xf numFmtId="0" fontId="4" fillId="0" borderId="6" xfId="1" applyFont="1" applyBorder="1" applyAlignment="1" applyProtection="1">
      <alignment horizontal="center" vertical="center"/>
      <protection hidden="1"/>
    </xf>
    <xf numFmtId="0" fontId="4" fillId="0" borderId="7" xfId="1" applyFont="1" applyBorder="1" applyAlignment="1" applyProtection="1">
      <alignment horizontal="left" vertical="center"/>
      <protection hidden="1"/>
    </xf>
    <xf numFmtId="0" fontId="4" fillId="3" borderId="0" xfId="1" applyFont="1" applyFill="1" applyAlignment="1" applyProtection="1">
      <alignment vertical="center"/>
      <protection hidden="1"/>
    </xf>
    <xf numFmtId="0" fontId="6" fillId="0" borderId="0" xfId="0" applyFont="1"/>
    <xf numFmtId="0" fontId="7" fillId="5" borderId="1" xfId="0" applyFont="1" applyFill="1" applyBorder="1" applyAlignment="1">
      <alignment horizontal="centerContinuous"/>
    </xf>
    <xf numFmtId="0" fontId="7" fillId="5" borderId="2" xfId="0" applyFont="1" applyFill="1" applyBorder="1" applyAlignment="1">
      <alignment horizontal="centerContinuous"/>
    </xf>
    <xf numFmtId="0" fontId="7" fillId="5" borderId="3" xfId="0" applyFont="1" applyFill="1" applyBorder="1" applyAlignment="1">
      <alignment horizontal="centerContinuous"/>
    </xf>
    <xf numFmtId="0" fontId="6" fillId="0" borderId="13" xfId="0" applyFont="1" applyBorder="1" applyAlignment="1">
      <alignment horizontal="centerContinuous"/>
    </xf>
    <xf numFmtId="0" fontId="6" fillId="0" borderId="14" xfId="0" applyFont="1" applyBorder="1" applyAlignment="1">
      <alignment horizontal="centerContinuous"/>
    </xf>
    <xf numFmtId="0" fontId="6" fillId="0" borderId="15" xfId="0" applyFont="1" applyBorder="1" applyAlignment="1">
      <alignment horizontal="centerContinuous"/>
    </xf>
    <xf numFmtId="0" fontId="7" fillId="5" borderId="13" xfId="0" applyFont="1" applyFill="1" applyBorder="1" applyAlignment="1">
      <alignment horizontal="centerContinuous"/>
    </xf>
    <xf numFmtId="0" fontId="7" fillId="5" borderId="14" xfId="0" applyFont="1" applyFill="1" applyBorder="1" applyAlignment="1">
      <alignment horizontal="centerContinuous"/>
    </xf>
    <xf numFmtId="0" fontId="7" fillId="5" borderId="15" xfId="0" applyFont="1" applyFill="1" applyBorder="1" applyAlignment="1">
      <alignment horizontal="centerContinuous"/>
    </xf>
    <xf numFmtId="0" fontId="6" fillId="0" borderId="32" xfId="0" applyFont="1" applyBorder="1" applyAlignment="1">
      <alignment horizontal="centerContinuous"/>
    </xf>
    <xf numFmtId="0" fontId="6" fillId="0" borderId="11" xfId="0" applyFont="1" applyBorder="1" applyAlignment="1">
      <alignment horizontal="centerContinuous"/>
    </xf>
    <xf numFmtId="0" fontId="6" fillId="0" borderId="33" xfId="0" applyFont="1" applyBorder="1" applyAlignment="1">
      <alignment horizontal="centerContinuous"/>
    </xf>
    <xf numFmtId="0" fontId="6" fillId="0" borderId="0" xfId="0" applyFont="1" applyProtection="1">
      <protection hidden="1"/>
    </xf>
    <xf numFmtId="0" fontId="5" fillId="3" borderId="0" xfId="1" applyFont="1" applyFill="1" applyAlignment="1" applyProtection="1">
      <alignment horizontal="center" vertical="center"/>
      <protection hidden="1"/>
    </xf>
    <xf numFmtId="0" fontId="0" fillId="0" borderId="0" xfId="0" applyAlignment="1">
      <alignment horizontal="center"/>
    </xf>
    <xf numFmtId="0" fontId="2" fillId="7" borderId="0" xfId="0" applyFont="1" applyFill="1"/>
    <xf numFmtId="0" fontId="2" fillId="7" borderId="0" xfId="0" applyFont="1" applyFill="1" applyAlignment="1">
      <alignment horizontal="center"/>
    </xf>
    <xf numFmtId="0" fontId="4" fillId="8" borderId="0" xfId="1" applyFont="1" applyFill="1"/>
    <xf numFmtId="0" fontId="4" fillId="0" borderId="0" xfId="1" applyFont="1"/>
    <xf numFmtId="0" fontId="4" fillId="0" borderId="12" xfId="1" applyFont="1" applyBorder="1"/>
    <xf numFmtId="0" fontId="2" fillId="0" borderId="0" xfId="0" applyFont="1"/>
    <xf numFmtId="0" fontId="5" fillId="8" borderId="0" xfId="1" applyFont="1" applyFill="1"/>
    <xf numFmtId="165" fontId="4" fillId="0" borderId="0" xfId="1" applyNumberFormat="1" applyFont="1"/>
    <xf numFmtId="0" fontId="4" fillId="0" borderId="0" xfId="0" applyFont="1" applyAlignment="1" applyProtection="1">
      <alignment horizontal="center"/>
      <protection hidden="1"/>
    </xf>
    <xf numFmtId="0" fontId="6" fillId="0" borderId="0" xfId="0" applyFont="1" applyAlignment="1" applyProtection="1">
      <alignment horizontal="left"/>
      <protection hidden="1"/>
    </xf>
    <xf numFmtId="0" fontId="7" fillId="4" borderId="1" xfId="0" applyFont="1" applyFill="1" applyBorder="1" applyAlignment="1">
      <alignment horizontal="centerContinuous"/>
    </xf>
    <xf numFmtId="0" fontId="7" fillId="4" borderId="2" xfId="0" applyFont="1" applyFill="1" applyBorder="1" applyAlignment="1">
      <alignment horizontal="centerContinuous"/>
    </xf>
    <xf numFmtId="0" fontId="7" fillId="4" borderId="3" xfId="0" applyFont="1" applyFill="1" applyBorder="1" applyAlignment="1">
      <alignment horizontal="centerContinuous"/>
    </xf>
    <xf numFmtId="0" fontId="11" fillId="9" borderId="13" xfId="0" applyFont="1" applyFill="1" applyBorder="1" applyAlignment="1">
      <alignment horizontal="centerContinuous"/>
    </xf>
    <xf numFmtId="0" fontId="11" fillId="9" borderId="14" xfId="0" applyFont="1" applyFill="1" applyBorder="1" applyAlignment="1">
      <alignment horizontal="centerContinuous"/>
    </xf>
    <xf numFmtId="0" fontId="11" fillId="9" borderId="15" xfId="0" applyFont="1" applyFill="1" applyBorder="1" applyAlignment="1">
      <alignment horizontal="centerContinuous"/>
    </xf>
    <xf numFmtId="0" fontId="11" fillId="9" borderId="32" xfId="0" applyFont="1" applyFill="1" applyBorder="1" applyAlignment="1">
      <alignment horizontal="centerContinuous"/>
    </xf>
    <xf numFmtId="0" fontId="11" fillId="9" borderId="11" xfId="0" applyFont="1" applyFill="1" applyBorder="1" applyAlignment="1">
      <alignment horizontal="centerContinuous"/>
    </xf>
    <xf numFmtId="0" fontId="11" fillId="9" borderId="33" xfId="0" applyFont="1" applyFill="1" applyBorder="1" applyAlignment="1">
      <alignment horizontal="centerContinuous"/>
    </xf>
    <xf numFmtId="0" fontId="7" fillId="4" borderId="13" xfId="0" applyFont="1" applyFill="1" applyBorder="1" applyAlignment="1">
      <alignment horizontal="centerContinuous"/>
    </xf>
    <xf numFmtId="0" fontId="7" fillId="4" borderId="14" xfId="0" applyFont="1" applyFill="1" applyBorder="1" applyAlignment="1">
      <alignment horizontal="centerContinuous"/>
    </xf>
    <xf numFmtId="0" fontId="7" fillId="4" borderId="15" xfId="0" applyFont="1" applyFill="1" applyBorder="1" applyAlignment="1">
      <alignment horizontal="centerContinuous"/>
    </xf>
    <xf numFmtId="3" fontId="4" fillId="10" borderId="34" xfId="2" applyNumberFormat="1" applyFont="1" applyFill="1" applyBorder="1" applyAlignment="1" applyProtection="1">
      <alignment horizontal="center" vertical="center"/>
      <protection hidden="1"/>
    </xf>
    <xf numFmtId="3" fontId="4" fillId="10" borderId="35" xfId="2" applyNumberFormat="1" applyFont="1" applyFill="1" applyBorder="1" applyAlignment="1" applyProtection="1">
      <alignment horizontal="center" vertical="center"/>
      <protection hidden="1"/>
    </xf>
    <xf numFmtId="3" fontId="4" fillId="10" borderId="36" xfId="2" applyNumberFormat="1" applyFont="1" applyFill="1" applyBorder="1" applyAlignment="1" applyProtection="1">
      <alignment horizontal="center" vertical="center"/>
      <protection hidden="1"/>
    </xf>
    <xf numFmtId="3" fontId="4" fillId="10" borderId="37" xfId="2" applyNumberFormat="1" applyFont="1" applyFill="1" applyBorder="1" applyAlignment="1" applyProtection="1">
      <alignment horizontal="center" vertical="center"/>
      <protection hidden="1"/>
    </xf>
    <xf numFmtId="3" fontId="4" fillId="10" borderId="38" xfId="2" applyNumberFormat="1" applyFont="1" applyFill="1" applyBorder="1" applyAlignment="1" applyProtection="1">
      <alignment horizontal="center" vertical="center"/>
      <protection hidden="1"/>
    </xf>
    <xf numFmtId="3" fontId="4" fillId="10" borderId="39" xfId="2" applyNumberFormat="1" applyFont="1" applyFill="1" applyBorder="1" applyAlignment="1" applyProtection="1">
      <alignment horizontal="center" vertical="center"/>
      <protection hidden="1"/>
    </xf>
    <xf numFmtId="3" fontId="4" fillId="10" borderId="40" xfId="2" applyNumberFormat="1" applyFont="1" applyFill="1" applyBorder="1" applyAlignment="1" applyProtection="1">
      <alignment horizontal="center" vertical="center"/>
      <protection hidden="1"/>
    </xf>
    <xf numFmtId="3" fontId="4" fillId="10" borderId="41" xfId="2" applyNumberFormat="1" applyFont="1" applyFill="1" applyBorder="1" applyAlignment="1" applyProtection="1">
      <alignment horizontal="center" vertical="center"/>
      <protection hidden="1"/>
    </xf>
    <xf numFmtId="3" fontId="4" fillId="10" borderId="42" xfId="2" applyNumberFormat="1" applyFont="1" applyFill="1" applyBorder="1" applyAlignment="1" applyProtection="1">
      <alignment horizontal="center" vertical="center"/>
      <protection hidden="1"/>
    </xf>
    <xf numFmtId="3" fontId="4" fillId="0" borderId="43" xfId="2" applyNumberFormat="1" applyFont="1" applyBorder="1" applyAlignment="1" applyProtection="1">
      <alignment horizontal="center" vertical="center"/>
      <protection hidden="1"/>
    </xf>
    <xf numFmtId="3" fontId="4" fillId="0" borderId="44" xfId="2" applyNumberFormat="1" applyFont="1" applyBorder="1" applyAlignment="1" applyProtection="1">
      <alignment horizontal="center" vertical="center"/>
      <protection hidden="1"/>
    </xf>
    <xf numFmtId="3" fontId="4" fillId="0" borderId="45" xfId="2" applyNumberFormat="1" applyFont="1" applyBorder="1" applyAlignment="1" applyProtection="1">
      <alignment horizontal="center" vertical="center"/>
      <protection hidden="1"/>
    </xf>
    <xf numFmtId="0" fontId="5" fillId="2" borderId="9" xfId="1" applyFont="1" applyFill="1" applyBorder="1" applyAlignment="1" applyProtection="1">
      <alignment horizontal="center" vertical="center"/>
      <protection locked="0"/>
    </xf>
    <xf numFmtId="0" fontId="4" fillId="0" borderId="9" xfId="1" applyFont="1" applyBorder="1" applyAlignment="1" applyProtection="1">
      <alignment horizontal="center" vertical="center"/>
      <protection hidden="1"/>
    </xf>
    <xf numFmtId="0" fontId="4" fillId="0" borderId="0" xfId="1" applyFont="1" applyAlignment="1" applyProtection="1">
      <alignment vertical="center"/>
      <protection hidden="1"/>
    </xf>
    <xf numFmtId="0" fontId="4" fillId="0" borderId="0" xfId="1" applyFont="1" applyAlignment="1">
      <alignment horizontal="center"/>
    </xf>
    <xf numFmtId="49" fontId="4" fillId="0" borderId="0" xfId="1" applyNumberFormat="1" applyFont="1" applyAlignment="1">
      <alignment horizontal="center"/>
    </xf>
    <xf numFmtId="49" fontId="4" fillId="0" borderId="0" xfId="1" applyNumberFormat="1" applyFont="1"/>
    <xf numFmtId="0" fontId="12" fillId="0" borderId="0" xfId="0" applyFont="1"/>
    <xf numFmtId="0" fontId="12" fillId="0" borderId="0" xfId="0" applyFont="1" applyAlignment="1">
      <alignment horizontal="right"/>
    </xf>
    <xf numFmtId="3" fontId="5" fillId="6" borderId="23" xfId="2" applyNumberFormat="1" applyFont="1" applyFill="1" applyBorder="1" applyAlignment="1" applyProtection="1">
      <alignment horizontal="center" vertical="center"/>
      <protection hidden="1"/>
    </xf>
    <xf numFmtId="3" fontId="5" fillId="6" borderId="24" xfId="2" applyNumberFormat="1" applyFont="1" applyFill="1" applyBorder="1" applyAlignment="1" applyProtection="1">
      <alignment horizontal="center" vertical="center"/>
      <protection hidden="1"/>
    </xf>
    <xf numFmtId="3" fontId="5" fillId="6" borderId="25" xfId="2" applyNumberFormat="1" applyFont="1" applyFill="1" applyBorder="1" applyAlignment="1" applyProtection="1">
      <alignment horizontal="center" vertical="center"/>
      <protection hidden="1"/>
    </xf>
    <xf numFmtId="1" fontId="5" fillId="6" borderId="29" xfId="2" applyNumberFormat="1" applyFont="1" applyFill="1" applyBorder="1" applyAlignment="1" applyProtection="1">
      <alignment horizontal="center" vertical="center"/>
      <protection hidden="1"/>
    </xf>
    <xf numFmtId="1" fontId="5" fillId="6" borderId="30" xfId="2" applyNumberFormat="1" applyFont="1" applyFill="1" applyBorder="1" applyAlignment="1" applyProtection="1">
      <alignment horizontal="center" vertical="center"/>
      <protection hidden="1"/>
    </xf>
    <xf numFmtId="1" fontId="5" fillId="6" borderId="31" xfId="2" applyNumberFormat="1" applyFont="1" applyFill="1" applyBorder="1" applyAlignment="1" applyProtection="1">
      <alignment horizontal="center" vertical="center"/>
      <protection hidden="1"/>
    </xf>
    <xf numFmtId="0" fontId="5" fillId="8" borderId="0" xfId="1" applyFont="1" applyFill="1" applyProtection="1">
      <protection locked="0"/>
    </xf>
    <xf numFmtId="0" fontId="2" fillId="7" borderId="0" xfId="0" applyFont="1" applyFill="1" applyProtection="1">
      <protection locked="0"/>
    </xf>
    <xf numFmtId="0" fontId="0" fillId="0" borderId="0" xfId="0" applyProtection="1">
      <protection locked="0"/>
    </xf>
    <xf numFmtId="3" fontId="4" fillId="0" borderId="43" xfId="2" applyNumberFormat="1" applyFont="1" applyBorder="1" applyAlignment="1" applyProtection="1">
      <alignment horizontal="left" vertical="center"/>
      <protection hidden="1"/>
    </xf>
    <xf numFmtId="3" fontId="4" fillId="0" borderId="44" xfId="2" applyNumberFormat="1" applyFont="1" applyBorder="1" applyAlignment="1" applyProtection="1">
      <alignment horizontal="left" vertical="center"/>
      <protection hidden="1"/>
    </xf>
    <xf numFmtId="3" fontId="4" fillId="0" borderId="45" xfId="2" applyNumberFormat="1" applyFont="1" applyBorder="1" applyAlignment="1" applyProtection="1">
      <alignment horizontal="left" vertical="center"/>
      <protection hidden="1"/>
    </xf>
    <xf numFmtId="3" fontId="4" fillId="0" borderId="16" xfId="2" applyNumberFormat="1" applyFont="1" applyBorder="1" applyAlignment="1" applyProtection="1">
      <alignment horizontal="left" vertical="center"/>
      <protection hidden="1"/>
    </xf>
    <xf numFmtId="3" fontId="4" fillId="0" borderId="10" xfId="2" applyNumberFormat="1" applyFont="1" applyBorder="1" applyAlignment="1" applyProtection="1">
      <alignment horizontal="left" vertical="center"/>
      <protection hidden="1"/>
    </xf>
    <xf numFmtId="3" fontId="4" fillId="0" borderId="17" xfId="2" applyNumberFormat="1" applyFont="1" applyBorder="1" applyAlignment="1" applyProtection="1">
      <alignment horizontal="left" vertical="center"/>
      <protection hidden="1"/>
    </xf>
    <xf numFmtId="3" fontId="4" fillId="0" borderId="18" xfId="2" applyNumberFormat="1" applyFont="1" applyBorder="1" applyAlignment="1" applyProtection="1">
      <alignment horizontal="left" vertical="center"/>
      <protection hidden="1"/>
    </xf>
    <xf numFmtId="3" fontId="4" fillId="0" borderId="19" xfId="2" applyNumberFormat="1" applyFont="1" applyBorder="1" applyAlignment="1" applyProtection="1">
      <alignment horizontal="left" vertical="center"/>
      <protection hidden="1"/>
    </xf>
    <xf numFmtId="3" fontId="4" fillId="0" borderId="20" xfId="2" applyNumberFormat="1" applyFont="1" applyBorder="1" applyAlignment="1" applyProtection="1">
      <alignment horizontal="left" vertical="center"/>
      <protection hidden="1"/>
    </xf>
    <xf numFmtId="3" fontId="4" fillId="0" borderId="26" xfId="2" applyNumberFormat="1" applyFont="1" applyBorder="1" applyAlignment="1" applyProtection="1">
      <alignment horizontal="left" vertical="center"/>
      <protection hidden="1"/>
    </xf>
    <xf numFmtId="3" fontId="4" fillId="0" borderId="27" xfId="2" applyNumberFormat="1" applyFont="1" applyBorder="1" applyAlignment="1" applyProtection="1">
      <alignment horizontal="left" vertical="center"/>
      <protection hidden="1"/>
    </xf>
    <xf numFmtId="3" fontId="4" fillId="0" borderId="28" xfId="2" applyNumberFormat="1" applyFont="1" applyBorder="1" applyAlignment="1" applyProtection="1">
      <alignment horizontal="left" vertical="center"/>
      <protection hidden="1"/>
    </xf>
    <xf numFmtId="3" fontId="4" fillId="0" borderId="26" xfId="2" applyNumberFormat="1" applyFont="1" applyBorder="1" applyAlignment="1" applyProtection="1">
      <alignment vertical="center"/>
      <protection hidden="1"/>
    </xf>
    <xf numFmtId="3" fontId="4" fillId="0" borderId="27" xfId="2" applyNumberFormat="1" applyFont="1" applyBorder="1" applyAlignment="1" applyProtection="1">
      <alignment vertical="center"/>
      <protection hidden="1"/>
    </xf>
    <xf numFmtId="3" fontId="4" fillId="0" borderId="28" xfId="2" applyNumberFormat="1" applyFont="1" applyBorder="1" applyAlignment="1" applyProtection="1">
      <alignment vertical="center"/>
      <protection hidden="1"/>
    </xf>
    <xf numFmtId="3" fontId="4" fillId="0" borderId="16" xfId="2" applyNumberFormat="1" applyFont="1" applyBorder="1" applyAlignment="1" applyProtection="1">
      <alignment vertical="center"/>
      <protection hidden="1"/>
    </xf>
    <xf numFmtId="3" fontId="4" fillId="0" borderId="10" xfId="2" applyNumberFormat="1" applyFont="1" applyBorder="1" applyAlignment="1" applyProtection="1">
      <alignment vertical="center"/>
      <protection hidden="1"/>
    </xf>
    <xf numFmtId="3" fontId="4" fillId="0" borderId="17" xfId="2" applyNumberFormat="1" applyFont="1" applyBorder="1" applyAlignment="1" applyProtection="1">
      <alignment vertical="center"/>
      <protection hidden="1"/>
    </xf>
    <xf numFmtId="3" fontId="4" fillId="0" borderId="18" xfId="2" applyNumberFormat="1" applyFont="1" applyBorder="1" applyAlignment="1" applyProtection="1">
      <alignment vertical="center"/>
      <protection hidden="1"/>
    </xf>
    <xf numFmtId="3" fontId="4" fillId="0" borderId="19" xfId="2" applyNumberFormat="1" applyFont="1" applyBorder="1" applyAlignment="1" applyProtection="1">
      <alignment vertical="center"/>
      <protection hidden="1"/>
    </xf>
    <xf numFmtId="3" fontId="4" fillId="0" borderId="20" xfId="2" applyNumberFormat="1" applyFont="1" applyBorder="1" applyAlignment="1" applyProtection="1">
      <alignment vertical="center"/>
      <protection hidden="1"/>
    </xf>
    <xf numFmtId="2" fontId="4" fillId="0" borderId="0" xfId="3" applyNumberFormat="1" applyFont="1" applyAlignment="1" applyProtection="1">
      <alignment vertical="center" wrapText="1"/>
      <protection hidden="1"/>
    </xf>
    <xf numFmtId="3" fontId="4" fillId="0" borderId="0" xfId="3" applyNumberFormat="1" applyFont="1" applyAlignment="1" applyProtection="1">
      <alignment horizontal="right" vertical="center" wrapText="1"/>
      <protection hidden="1"/>
    </xf>
    <xf numFmtId="2" fontId="4" fillId="0" borderId="0" xfId="3" applyNumberFormat="1" applyFont="1" applyAlignment="1" applyProtection="1">
      <alignment vertical="center"/>
      <protection hidden="1"/>
    </xf>
    <xf numFmtId="2" fontId="4" fillId="3" borderId="0" xfId="3" applyNumberFormat="1" applyFont="1" applyFill="1" applyAlignment="1" applyProtection="1">
      <alignment vertical="center" wrapText="1"/>
      <protection hidden="1"/>
    </xf>
    <xf numFmtId="3" fontId="4" fillId="3" borderId="0" xfId="3" applyNumberFormat="1" applyFont="1" applyFill="1" applyAlignment="1" applyProtection="1">
      <alignment horizontal="right" vertical="center" wrapText="1"/>
      <protection hidden="1"/>
    </xf>
    <xf numFmtId="2" fontId="4" fillId="3" borderId="0" xfId="3" applyNumberFormat="1" applyFont="1" applyFill="1" applyAlignment="1" applyProtection="1">
      <alignment vertical="center"/>
      <protection hidden="1"/>
    </xf>
    <xf numFmtId="3" fontId="4" fillId="0" borderId="0" xfId="3" applyNumberFormat="1" applyFont="1" applyAlignment="1" applyProtection="1">
      <alignment horizontal="right" vertical="center"/>
      <protection hidden="1"/>
    </xf>
    <xf numFmtId="0" fontId="4" fillId="0" borderId="0" xfId="3" applyFont="1" applyAlignment="1" applyProtection="1">
      <alignment horizontal="center" vertical="top" wrapText="1"/>
      <protection hidden="1"/>
    </xf>
    <xf numFmtId="0" fontId="16" fillId="0" borderId="0" xfId="0" applyFont="1"/>
    <xf numFmtId="164" fontId="4" fillId="0" borderId="20" xfId="4" applyFont="1" applyFill="1" applyBorder="1" applyAlignment="1" applyProtection="1">
      <alignment vertical="center"/>
      <protection hidden="1"/>
    </xf>
    <xf numFmtId="0" fontId="15" fillId="0" borderId="0" xfId="0" applyFont="1"/>
    <xf numFmtId="2" fontId="4" fillId="3" borderId="0" xfId="3" applyNumberFormat="1" applyFont="1" applyFill="1" applyAlignment="1" applyProtection="1">
      <alignment horizontal="left" vertical="center"/>
      <protection locked="0"/>
    </xf>
    <xf numFmtId="2" fontId="4" fillId="0" borderId="0" xfId="3" applyNumberFormat="1" applyFont="1" applyAlignment="1" applyProtection="1">
      <alignment horizontal="left" vertical="center"/>
      <protection locked="0"/>
    </xf>
    <xf numFmtId="0" fontId="0" fillId="0" borderId="0" xfId="0" applyAlignment="1" applyProtection="1">
      <alignment vertical="top" wrapText="1"/>
      <protection hidden="1"/>
    </xf>
    <xf numFmtId="0" fontId="0" fillId="0" borderId="0" xfId="0" applyAlignment="1">
      <alignment horizontal="left"/>
    </xf>
    <xf numFmtId="0" fontId="0" fillId="7" borderId="0" xfId="0" applyFill="1"/>
    <xf numFmtId="0" fontId="0" fillId="7" borderId="0" xfId="0" applyFill="1" applyProtection="1">
      <protection locked="0"/>
    </xf>
    <xf numFmtId="0" fontId="0" fillId="0" borderId="0" xfId="0" applyAlignment="1" applyProtection="1">
      <alignment vertical="top"/>
      <protection hidden="1"/>
    </xf>
    <xf numFmtId="0" fontId="0" fillId="0" borderId="0" xfId="0" applyAlignment="1" applyProtection="1">
      <alignment horizontal="center" vertical="top"/>
      <protection hidden="1"/>
    </xf>
    <xf numFmtId="0" fontId="0" fillId="0" borderId="0" xfId="0" applyAlignment="1" applyProtection="1">
      <alignment wrapText="1"/>
      <protection hidden="1"/>
    </xf>
    <xf numFmtId="0" fontId="0" fillId="0" borderId="0" xfId="0" applyAlignment="1" applyProtection="1">
      <alignment horizontal="left" vertical="top"/>
      <protection hidden="1"/>
    </xf>
    <xf numFmtId="0" fontId="5" fillId="11" borderId="46" xfId="3" applyFont="1" applyFill="1" applyBorder="1" applyAlignment="1" applyProtection="1">
      <alignment horizontal="left" vertical="center"/>
      <protection hidden="1"/>
    </xf>
    <xf numFmtId="0" fontId="5" fillId="11" borderId="47" xfId="3" applyFont="1" applyFill="1" applyBorder="1" applyAlignment="1" applyProtection="1">
      <alignment horizontal="left" vertical="center"/>
      <protection hidden="1"/>
    </xf>
    <xf numFmtId="0" fontId="5" fillId="11" borderId="48" xfId="3" applyFont="1" applyFill="1" applyBorder="1" applyAlignment="1" applyProtection="1">
      <alignment horizontal="left" vertical="center"/>
      <protection hidden="1"/>
    </xf>
    <xf numFmtId="0" fontId="4" fillId="0" borderId="49" xfId="3" applyFont="1" applyBorder="1" applyAlignment="1" applyProtection="1">
      <alignment horizontal="left" vertical="top"/>
      <protection locked="0"/>
    </xf>
    <xf numFmtId="2" fontId="4" fillId="3" borderId="50" xfId="3" applyNumberFormat="1" applyFont="1" applyFill="1" applyBorder="1" applyAlignment="1" applyProtection="1">
      <alignment horizontal="left" vertical="center"/>
      <protection locked="0"/>
    </xf>
    <xf numFmtId="2" fontId="4" fillId="0" borderId="50" xfId="3" applyNumberFormat="1" applyFont="1" applyBorder="1" applyAlignment="1" applyProtection="1">
      <alignment horizontal="left" vertical="center"/>
      <protection locked="0"/>
    </xf>
    <xf numFmtId="0" fontId="4" fillId="0" borderId="51" xfId="3" applyFont="1" applyBorder="1" applyAlignment="1" applyProtection="1">
      <alignment horizontal="left" vertical="top"/>
      <protection locked="0"/>
    </xf>
    <xf numFmtId="2" fontId="4" fillId="0" borderId="52" xfId="3" applyNumberFormat="1" applyFont="1" applyBorder="1" applyAlignment="1" applyProtection="1">
      <alignment horizontal="left" vertical="center"/>
      <protection locked="0"/>
    </xf>
    <xf numFmtId="2" fontId="4" fillId="0" borderId="53" xfId="3" applyNumberFormat="1" applyFont="1" applyBorder="1" applyAlignment="1" applyProtection="1">
      <alignment horizontal="left" vertical="center"/>
      <protection locked="0"/>
    </xf>
    <xf numFmtId="3" fontId="4" fillId="0" borderId="0" xfId="3" applyNumberFormat="1" applyFont="1" applyAlignment="1" applyProtection="1">
      <alignment vertical="center" wrapText="1"/>
      <protection hidden="1"/>
    </xf>
    <xf numFmtId="3" fontId="4" fillId="3" borderId="0" xfId="3" applyNumberFormat="1" applyFont="1" applyFill="1" applyAlignment="1" applyProtection="1">
      <alignment vertical="center" wrapText="1"/>
      <protection hidden="1"/>
    </xf>
    <xf numFmtId="3" fontId="4" fillId="0" borderId="0" xfId="3" applyNumberFormat="1" applyFont="1" applyAlignment="1" applyProtection="1">
      <alignment vertical="center"/>
      <protection hidden="1"/>
    </xf>
    <xf numFmtId="166" fontId="0" fillId="0" borderId="0" xfId="0" applyNumberFormat="1" applyAlignment="1" applyProtection="1">
      <alignment vertical="top"/>
      <protection hidden="1"/>
    </xf>
    <xf numFmtId="3" fontId="0" fillId="0" borderId="0" xfId="0" applyNumberFormat="1" applyAlignment="1" applyProtection="1">
      <alignment horizontal="right" vertical="top" indent="2"/>
      <protection hidden="1"/>
    </xf>
    <xf numFmtId="3" fontId="0" fillId="0" borderId="0" xfId="0" applyNumberFormat="1" applyProtection="1">
      <protection hidden="1"/>
    </xf>
    <xf numFmtId="0" fontId="0" fillId="12" borderId="0" xfId="0" applyFill="1"/>
    <xf numFmtId="0" fontId="0" fillId="12" borderId="0" xfId="0" applyFill="1" applyProtection="1">
      <protection hidden="1"/>
    </xf>
    <xf numFmtId="2" fontId="14" fillId="11" borderId="54" xfId="3" applyNumberFormat="1" applyFont="1" applyFill="1" applyBorder="1" applyAlignment="1" applyProtection="1">
      <alignment horizontal="center" vertical="center" wrapText="1"/>
      <protection hidden="1"/>
    </xf>
    <xf numFmtId="2" fontId="14" fillId="11" borderId="55" xfId="3" applyNumberFormat="1" applyFont="1" applyFill="1" applyBorder="1" applyAlignment="1" applyProtection="1">
      <alignment horizontal="center" vertical="center" wrapText="1"/>
      <protection hidden="1"/>
    </xf>
    <xf numFmtId="3" fontId="14" fillId="11" borderId="55" xfId="3" applyNumberFormat="1" applyFont="1" applyFill="1" applyBorder="1" applyAlignment="1" applyProtection="1">
      <alignment horizontal="center" vertical="center" wrapText="1"/>
      <protection hidden="1"/>
    </xf>
    <xf numFmtId="3" fontId="14" fillId="11" borderId="56" xfId="3" applyNumberFormat="1" applyFont="1" applyFill="1" applyBorder="1" applyAlignment="1" applyProtection="1">
      <alignment horizontal="center" vertical="center" wrapText="1"/>
      <protection hidden="1"/>
    </xf>
    <xf numFmtId="2" fontId="14" fillId="11" borderId="56" xfId="3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0" applyFont="1" applyAlignment="1">
      <alignment horizontal="center"/>
    </xf>
    <xf numFmtId="0" fontId="6" fillId="0" borderId="57" xfId="0" applyFont="1" applyBorder="1" applyProtection="1">
      <protection hidden="1"/>
    </xf>
    <xf numFmtId="0" fontId="6" fillId="0" borderId="57" xfId="0" applyFont="1" applyBorder="1"/>
    <xf numFmtId="3" fontId="4" fillId="6" borderId="58" xfId="2" applyNumberFormat="1" applyFont="1" applyFill="1" applyBorder="1" applyAlignment="1" applyProtection="1">
      <alignment horizontal="center" vertical="center"/>
      <protection hidden="1"/>
    </xf>
    <xf numFmtId="3" fontId="4" fillId="10" borderId="59" xfId="2" applyNumberFormat="1" applyFont="1" applyFill="1" applyBorder="1" applyAlignment="1" applyProtection="1">
      <alignment horizontal="center" vertical="center"/>
      <protection hidden="1"/>
    </xf>
    <xf numFmtId="3" fontId="4" fillId="10" borderId="60" xfId="2" applyNumberFormat="1" applyFont="1" applyFill="1" applyBorder="1" applyAlignment="1" applyProtection="1">
      <alignment horizontal="center" vertical="center"/>
      <protection hidden="1"/>
    </xf>
    <xf numFmtId="3" fontId="4" fillId="10" borderId="61" xfId="2" applyNumberFormat="1" applyFont="1" applyFill="1" applyBorder="1" applyAlignment="1" applyProtection="1">
      <alignment horizontal="center" vertical="center"/>
      <protection hidden="1"/>
    </xf>
    <xf numFmtId="3" fontId="4" fillId="6" borderId="62" xfId="2" applyNumberFormat="1" applyFont="1" applyFill="1" applyBorder="1" applyAlignment="1" applyProtection="1">
      <alignment horizontal="center" vertical="center"/>
      <protection hidden="1"/>
    </xf>
    <xf numFmtId="3" fontId="4" fillId="10" borderId="63" xfId="2" applyNumberFormat="1" applyFont="1" applyFill="1" applyBorder="1" applyAlignment="1" applyProtection="1">
      <alignment horizontal="center" vertical="center"/>
      <protection hidden="1"/>
    </xf>
    <xf numFmtId="3" fontId="4" fillId="10" borderId="64" xfId="2" applyNumberFormat="1" applyFont="1" applyFill="1" applyBorder="1" applyAlignment="1" applyProtection="1">
      <alignment horizontal="center" vertical="center"/>
      <protection hidden="1"/>
    </xf>
    <xf numFmtId="3" fontId="4" fillId="10" borderId="65" xfId="2" applyNumberFormat="1" applyFont="1" applyFill="1" applyBorder="1" applyAlignment="1" applyProtection="1">
      <alignment horizontal="center" vertical="center"/>
      <protection hidden="1"/>
    </xf>
    <xf numFmtId="3" fontId="4" fillId="6" borderId="0" xfId="2" applyNumberFormat="1" applyFont="1" applyFill="1" applyAlignment="1" applyProtection="1">
      <alignment horizontal="center" vertical="center"/>
      <protection hidden="1"/>
    </xf>
    <xf numFmtId="3" fontId="4" fillId="0" borderId="0" xfId="2" applyNumberFormat="1" applyFont="1" applyAlignment="1" applyProtection="1">
      <alignment horizontal="center" vertical="center"/>
      <protection hidden="1"/>
    </xf>
    <xf numFmtId="3" fontId="4" fillId="10" borderId="0" xfId="2" applyNumberFormat="1" applyFont="1" applyFill="1" applyAlignment="1" applyProtection="1">
      <alignment horizontal="center" vertical="center"/>
      <protection hidden="1"/>
    </xf>
    <xf numFmtId="3" fontId="4" fillId="14" borderId="26" xfId="2" applyNumberFormat="1" applyFont="1" applyFill="1" applyBorder="1" applyAlignment="1" applyProtection="1">
      <alignment horizontal="center" vertical="center"/>
      <protection hidden="1"/>
    </xf>
    <xf numFmtId="3" fontId="4" fillId="14" borderId="27" xfId="2" applyNumberFormat="1" applyFont="1" applyFill="1" applyBorder="1" applyAlignment="1" applyProtection="1">
      <alignment horizontal="center" vertical="center"/>
      <protection hidden="1"/>
    </xf>
    <xf numFmtId="3" fontId="4" fillId="14" borderId="28" xfId="2" applyNumberFormat="1" applyFont="1" applyFill="1" applyBorder="1" applyAlignment="1" applyProtection="1">
      <alignment horizontal="center" vertical="center"/>
      <protection hidden="1"/>
    </xf>
    <xf numFmtId="167" fontId="4" fillId="13" borderId="26" xfId="2" applyNumberFormat="1" applyFont="1" applyFill="1" applyBorder="1" applyAlignment="1" applyProtection="1">
      <alignment horizontal="center" vertical="center"/>
      <protection hidden="1"/>
    </xf>
    <xf numFmtId="167" fontId="4" fillId="13" borderId="27" xfId="2" applyNumberFormat="1" applyFont="1" applyFill="1" applyBorder="1" applyAlignment="1" applyProtection="1">
      <alignment horizontal="center" vertical="center"/>
      <protection hidden="1"/>
    </xf>
    <xf numFmtId="167" fontId="4" fillId="13" borderId="28" xfId="2" applyNumberFormat="1" applyFont="1" applyFill="1" applyBorder="1" applyAlignment="1" applyProtection="1">
      <alignment horizontal="center" vertical="center"/>
      <protection hidden="1"/>
    </xf>
    <xf numFmtId="3" fontId="4" fillId="14" borderId="43" xfId="2" applyNumberFormat="1" applyFont="1" applyFill="1" applyBorder="1" applyAlignment="1" applyProtection="1">
      <alignment horizontal="center" vertical="center"/>
      <protection hidden="1"/>
    </xf>
    <xf numFmtId="3" fontId="4" fillId="14" borderId="44" xfId="2" applyNumberFormat="1" applyFont="1" applyFill="1" applyBorder="1" applyAlignment="1" applyProtection="1">
      <alignment horizontal="center" vertical="center"/>
      <protection hidden="1"/>
    </xf>
    <xf numFmtId="3" fontId="4" fillId="14" borderId="45" xfId="2" applyNumberFormat="1" applyFont="1" applyFill="1" applyBorder="1" applyAlignment="1" applyProtection="1">
      <alignment horizontal="center" vertical="center"/>
      <protection hidden="1"/>
    </xf>
    <xf numFmtId="167" fontId="4" fillId="13" borderId="66" xfId="2" applyNumberFormat="1" applyFont="1" applyFill="1" applyBorder="1" applyAlignment="1" applyProtection="1">
      <alignment horizontal="center" vertical="center"/>
      <protection hidden="1"/>
    </xf>
    <xf numFmtId="167" fontId="4" fillId="13" borderId="67" xfId="2" applyNumberFormat="1" applyFont="1" applyFill="1" applyBorder="1" applyAlignment="1" applyProtection="1">
      <alignment horizontal="center" vertical="center"/>
      <protection hidden="1"/>
    </xf>
    <xf numFmtId="167" fontId="4" fillId="13" borderId="68" xfId="2" applyNumberFormat="1" applyFont="1" applyFill="1" applyBorder="1" applyAlignment="1" applyProtection="1">
      <alignment horizontal="center" vertical="center"/>
      <protection hidden="1"/>
    </xf>
    <xf numFmtId="3" fontId="4" fillId="14" borderId="66" xfId="2" applyNumberFormat="1" applyFont="1" applyFill="1" applyBorder="1" applyAlignment="1" applyProtection="1">
      <alignment horizontal="center" vertical="center"/>
      <protection hidden="1"/>
    </xf>
    <xf numFmtId="3" fontId="4" fillId="14" borderId="67" xfId="2" applyNumberFormat="1" applyFont="1" applyFill="1" applyBorder="1" applyAlignment="1" applyProtection="1">
      <alignment horizontal="center" vertical="center"/>
      <protection hidden="1"/>
    </xf>
    <xf numFmtId="3" fontId="4" fillId="14" borderId="68" xfId="2" applyNumberFormat="1" applyFont="1" applyFill="1" applyBorder="1" applyAlignment="1" applyProtection="1">
      <alignment horizontal="center" vertical="center"/>
      <protection hidden="1"/>
    </xf>
    <xf numFmtId="167" fontId="4" fillId="13" borderId="43" xfId="2" applyNumberFormat="1" applyFont="1" applyFill="1" applyBorder="1" applyAlignment="1" applyProtection="1">
      <alignment horizontal="center" vertical="center"/>
      <protection hidden="1"/>
    </xf>
    <xf numFmtId="167" fontId="4" fillId="13" borderId="44" xfId="2" applyNumberFormat="1" applyFont="1" applyFill="1" applyBorder="1" applyAlignment="1" applyProtection="1">
      <alignment horizontal="center" vertical="center"/>
      <protection hidden="1"/>
    </xf>
    <xf numFmtId="167" fontId="4" fillId="13" borderId="45" xfId="2" applyNumberFormat="1" applyFont="1" applyFill="1" applyBorder="1" applyAlignment="1" applyProtection="1">
      <alignment horizontal="center" vertical="center"/>
      <protection hidden="1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165" fontId="19" fillId="0" borderId="0" xfId="0" applyNumberFormat="1" applyFont="1"/>
    <xf numFmtId="165" fontId="0" fillId="0" borderId="0" xfId="0" applyNumberFormat="1"/>
    <xf numFmtId="0" fontId="19" fillId="0" borderId="0" xfId="0" applyFont="1"/>
    <xf numFmtId="0" fontId="20" fillId="0" borderId="0" xfId="0" applyFont="1" applyAlignment="1">
      <alignment horizontal="right"/>
    </xf>
    <xf numFmtId="1" fontId="4" fillId="6" borderId="69" xfId="2" applyNumberFormat="1" applyFont="1" applyFill="1" applyBorder="1" applyAlignment="1" applyProtection="1">
      <alignment horizontal="center" vertical="center"/>
      <protection hidden="1"/>
    </xf>
    <xf numFmtId="1" fontId="4" fillId="6" borderId="70" xfId="2" applyNumberFormat="1" applyFont="1" applyFill="1" applyBorder="1" applyAlignment="1" applyProtection="1">
      <alignment horizontal="center" vertical="center"/>
      <protection hidden="1"/>
    </xf>
    <xf numFmtId="1" fontId="4" fillId="6" borderId="71" xfId="2" applyNumberFormat="1" applyFont="1" applyFill="1" applyBorder="1" applyAlignment="1" applyProtection="1">
      <alignment horizontal="center" vertical="center"/>
      <protection hidden="1"/>
    </xf>
    <xf numFmtId="3" fontId="4" fillId="6" borderId="72" xfId="2" applyNumberFormat="1" applyFont="1" applyFill="1" applyBorder="1" applyAlignment="1" applyProtection="1">
      <alignment horizontal="center" vertical="center"/>
      <protection hidden="1"/>
    </xf>
    <xf numFmtId="3" fontId="4" fillId="6" borderId="22" xfId="2" applyNumberFormat="1" applyFont="1" applyFill="1" applyBorder="1" applyAlignment="1" applyProtection="1">
      <alignment horizontal="center" vertical="center"/>
      <protection hidden="1"/>
    </xf>
    <xf numFmtId="3" fontId="4" fillId="0" borderId="73" xfId="2" applyNumberFormat="1" applyFont="1" applyBorder="1" applyAlignment="1" applyProtection="1">
      <alignment horizontal="center" vertical="center"/>
      <protection hidden="1"/>
    </xf>
    <xf numFmtId="3" fontId="5" fillId="6" borderId="58" xfId="2" applyNumberFormat="1" applyFont="1" applyFill="1" applyBorder="1" applyAlignment="1" applyProtection="1">
      <alignment horizontal="center" vertical="center"/>
      <protection hidden="1"/>
    </xf>
    <xf numFmtId="0" fontId="6" fillId="0" borderId="0" xfId="0" applyFont="1" applyAlignment="1">
      <alignment horizontal="left" vertical="top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 vertical="top"/>
    </xf>
    <xf numFmtId="0" fontId="11" fillId="0" borderId="0" xfId="0" applyFont="1" applyAlignment="1">
      <alignment horizontal="left"/>
    </xf>
    <xf numFmtId="3" fontId="4" fillId="15" borderId="26" xfId="2" applyNumberFormat="1" applyFont="1" applyFill="1" applyBorder="1" applyAlignment="1" applyProtection="1">
      <alignment horizontal="center" vertical="center"/>
      <protection hidden="1"/>
    </xf>
    <xf numFmtId="3" fontId="4" fillId="15" borderId="27" xfId="2" applyNumberFormat="1" applyFont="1" applyFill="1" applyBorder="1" applyAlignment="1" applyProtection="1">
      <alignment horizontal="center" vertical="center"/>
      <protection hidden="1"/>
    </xf>
    <xf numFmtId="3" fontId="4" fillId="15" borderId="28" xfId="2" applyNumberFormat="1" applyFont="1" applyFill="1" applyBorder="1" applyAlignment="1" applyProtection="1">
      <alignment horizontal="center" vertical="center"/>
      <protection hidden="1"/>
    </xf>
    <xf numFmtId="167" fontId="4" fillId="15" borderId="27" xfId="2" applyNumberFormat="1" applyFont="1" applyFill="1" applyBorder="1" applyAlignment="1" applyProtection="1">
      <alignment horizontal="center" vertical="center"/>
      <protection hidden="1"/>
    </xf>
    <xf numFmtId="167" fontId="4" fillId="15" borderId="28" xfId="2" applyNumberFormat="1" applyFont="1" applyFill="1" applyBorder="1" applyAlignment="1" applyProtection="1">
      <alignment horizontal="center" vertical="center"/>
      <protection hidden="1"/>
    </xf>
    <xf numFmtId="167" fontId="4" fillId="15" borderId="26" xfId="2" applyNumberFormat="1" applyFont="1" applyFill="1" applyBorder="1" applyAlignment="1" applyProtection="1">
      <alignment horizontal="center" vertical="center"/>
      <protection hidden="1"/>
    </xf>
    <xf numFmtId="0" fontId="21" fillId="0" borderId="0" xfId="0" applyFont="1"/>
    <xf numFmtId="0" fontId="0" fillId="15" borderId="0" xfId="0" applyFill="1"/>
    <xf numFmtId="12" fontId="4" fillId="0" borderId="0" xfId="0" applyNumberFormat="1" applyFont="1"/>
    <xf numFmtId="12" fontId="5" fillId="6" borderId="23" xfId="2" applyNumberFormat="1" applyFont="1" applyFill="1" applyBorder="1" applyAlignment="1" applyProtection="1">
      <alignment horizontal="center" vertical="center"/>
      <protection hidden="1"/>
    </xf>
    <xf numFmtId="12" fontId="5" fillId="6" borderId="24" xfId="2" applyNumberFormat="1" applyFont="1" applyFill="1" applyBorder="1" applyAlignment="1" applyProtection="1">
      <alignment horizontal="center" vertical="center"/>
      <protection hidden="1"/>
    </xf>
    <xf numFmtId="12" fontId="5" fillId="6" borderId="25" xfId="2" applyNumberFormat="1" applyFont="1" applyFill="1" applyBorder="1" applyAlignment="1" applyProtection="1">
      <alignment horizontal="center" vertical="center"/>
      <protection hidden="1"/>
    </xf>
    <xf numFmtId="0" fontId="0" fillId="12" borderId="0" xfId="0" applyFill="1" applyAlignment="1">
      <alignment horizontal="center"/>
    </xf>
    <xf numFmtId="12" fontId="5" fillId="6" borderId="58" xfId="2" applyNumberFormat="1" applyFont="1" applyFill="1" applyBorder="1" applyAlignment="1" applyProtection="1">
      <alignment horizontal="center" vertical="center"/>
      <protection hidden="1"/>
    </xf>
    <xf numFmtId="3" fontId="4" fillId="0" borderId="74" xfId="2" applyNumberFormat="1" applyFont="1" applyBorder="1" applyAlignment="1" applyProtection="1">
      <alignment horizontal="center" vertical="center"/>
      <protection hidden="1"/>
    </xf>
    <xf numFmtId="0" fontId="11" fillId="9" borderId="75" xfId="0" applyFont="1" applyFill="1" applyBorder="1" applyAlignment="1">
      <alignment horizontal="centerContinuous"/>
    </xf>
    <xf numFmtId="0" fontId="11" fillId="9" borderId="76" xfId="0" applyFont="1" applyFill="1" applyBorder="1" applyAlignment="1">
      <alignment horizontal="centerContinuous"/>
    </xf>
    <xf numFmtId="0" fontId="11" fillId="9" borderId="77" xfId="0" applyFont="1" applyFill="1" applyBorder="1" applyAlignment="1">
      <alignment horizontal="centerContinuous"/>
    </xf>
    <xf numFmtId="12" fontId="5" fillId="6" borderId="78" xfId="2" applyNumberFormat="1" applyFont="1" applyFill="1" applyBorder="1" applyAlignment="1" applyProtection="1">
      <alignment horizontal="center" vertical="center"/>
      <protection hidden="1"/>
    </xf>
    <xf numFmtId="12" fontId="5" fillId="6" borderId="79" xfId="2" applyNumberFormat="1" applyFont="1" applyFill="1" applyBorder="1" applyAlignment="1" applyProtection="1">
      <alignment horizontal="center" vertical="center"/>
      <protection hidden="1"/>
    </xf>
    <xf numFmtId="12" fontId="5" fillId="6" borderId="80" xfId="2" applyNumberFormat="1" applyFont="1" applyFill="1" applyBorder="1" applyAlignment="1" applyProtection="1">
      <alignment horizontal="center" vertical="center"/>
      <protection hidden="1"/>
    </xf>
    <xf numFmtId="0" fontId="11" fillId="9" borderId="81" xfId="0" applyFont="1" applyFill="1" applyBorder="1" applyAlignment="1">
      <alignment horizontal="centerContinuous"/>
    </xf>
    <xf numFmtId="12" fontId="5" fillId="6" borderId="82" xfId="2" applyNumberFormat="1" applyFont="1" applyFill="1" applyBorder="1" applyAlignment="1" applyProtection="1">
      <alignment horizontal="center" vertical="center"/>
      <protection hidden="1"/>
    </xf>
    <xf numFmtId="2" fontId="4" fillId="0" borderId="0" xfId="3" applyNumberFormat="1" applyFont="1" applyAlignment="1" applyProtection="1">
      <alignment horizontal="center" vertical="top" wrapText="1"/>
      <protection hidden="1"/>
    </xf>
    <xf numFmtId="12" fontId="4" fillId="0" borderId="0" xfId="3" applyNumberFormat="1" applyFont="1" applyAlignment="1" applyProtection="1">
      <alignment horizontal="center" vertical="top" wrapText="1"/>
      <protection hidden="1"/>
    </xf>
    <xf numFmtId="0" fontId="17" fillId="0" borderId="0" xfId="0" applyFont="1" applyAlignment="1" applyProtection="1">
      <alignment horizontal="left"/>
      <protection hidden="1"/>
    </xf>
    <xf numFmtId="0" fontId="17" fillId="0" borderId="0" xfId="0" applyFont="1"/>
    <xf numFmtId="0" fontId="2" fillId="7" borderId="0" xfId="0" applyFont="1" applyFill="1" applyAlignment="1">
      <alignment horizontal="right"/>
    </xf>
    <xf numFmtId="0" fontId="2" fillId="16" borderId="0" xfId="0" applyFont="1" applyFill="1" applyAlignment="1">
      <alignment horizontal="centerContinuous"/>
    </xf>
    <xf numFmtId="0" fontId="0" fillId="16" borderId="0" xfId="0" applyFill="1" applyAlignment="1">
      <alignment horizontal="centerContinuous"/>
    </xf>
    <xf numFmtId="0" fontId="0" fillId="0" borderId="83" xfId="0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83" xfId="0" applyBorder="1"/>
    <xf numFmtId="0" fontId="0" fillId="0" borderId="11" xfId="0" applyBorder="1" applyAlignment="1">
      <alignment horizontal="center"/>
    </xf>
    <xf numFmtId="3" fontId="11" fillId="0" borderId="0" xfId="2" applyNumberFormat="1" applyFont="1" applyAlignment="1" applyProtection="1">
      <alignment horizontal="center" vertical="center"/>
      <protection hidden="1"/>
    </xf>
    <xf numFmtId="0" fontId="4" fillId="0" borderId="0" xfId="1" applyFont="1" applyAlignment="1">
      <alignment shrinkToFit="1"/>
    </xf>
    <xf numFmtId="0" fontId="4" fillId="0" borderId="12" xfId="1" applyFont="1" applyBorder="1" applyAlignment="1">
      <alignment shrinkToFit="1"/>
    </xf>
    <xf numFmtId="0" fontId="6" fillId="0" borderId="0" xfId="0" applyFont="1" applyAlignment="1">
      <alignment shrinkToFit="1"/>
    </xf>
    <xf numFmtId="0" fontId="6" fillId="0" borderId="12" xfId="0" applyFont="1" applyBorder="1" applyAlignment="1">
      <alignment shrinkToFit="1"/>
    </xf>
    <xf numFmtId="0" fontId="0" fillId="0" borderId="0" xfId="0" applyAlignment="1">
      <alignment shrinkToFit="1"/>
    </xf>
    <xf numFmtId="0" fontId="4" fillId="8" borderId="0" xfId="1" applyFont="1" applyFill="1" applyAlignment="1">
      <alignment shrinkToFit="1"/>
    </xf>
    <xf numFmtId="0" fontId="4" fillId="0" borderId="0" xfId="0" applyFont="1" applyAlignment="1">
      <alignment shrinkToFit="1"/>
    </xf>
    <xf numFmtId="0" fontId="4" fillId="8" borderId="12" xfId="1" applyFont="1" applyFill="1" applyBorder="1" applyAlignment="1">
      <alignment shrinkToFit="1"/>
    </xf>
    <xf numFmtId="0" fontId="5" fillId="8" borderId="0" xfId="1" applyFont="1" applyFill="1" applyAlignment="1">
      <alignment shrinkToFit="1"/>
    </xf>
    <xf numFmtId="0" fontId="3" fillId="0" borderId="12" xfId="1" applyBorder="1" applyAlignment="1">
      <alignment shrinkToFit="1"/>
    </xf>
    <xf numFmtId="0" fontId="3" fillId="0" borderId="0" xfId="1" applyAlignment="1">
      <alignment shrinkToFit="1"/>
    </xf>
    <xf numFmtId="0" fontId="26" fillId="0" borderId="0" xfId="0" applyFont="1" applyAlignment="1">
      <alignment shrinkToFit="1"/>
    </xf>
    <xf numFmtId="0" fontId="6" fillId="11" borderId="0" xfId="0" applyFont="1" applyFill="1" applyAlignment="1" applyProtection="1">
      <alignment horizontal="right" vertical="center" wrapText="1"/>
      <protection hidden="1"/>
    </xf>
    <xf numFmtId="0" fontId="17" fillId="11" borderId="0" xfId="0" applyFont="1" applyFill="1" applyAlignment="1" applyProtection="1">
      <alignment horizontal="center" vertical="center"/>
      <protection hidden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0" fillId="0" borderId="81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vertical="top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4" fillId="0" borderId="0" xfId="1" applyFont="1" applyAlignment="1">
      <alignment horizontal="center"/>
    </xf>
  </cellXfs>
  <cellStyles count="5">
    <cellStyle name="Čárka" xfId="4" builtinId="3"/>
    <cellStyle name="Normální" xfId="0" builtinId="0"/>
    <cellStyle name="normální 5" xfId="2" xr:uid="{00000000-0005-0000-0000-000002000000}"/>
    <cellStyle name="normální_KORADO - výkon moje" xfId="3" xr:uid="{00000000-0005-0000-0000-000003000000}"/>
    <cellStyle name="normální_KORADO_výkon 1" xfId="1" xr:uid="{00000000-0005-0000-0000-000004000000}"/>
  </cellStyles>
  <dxfs count="21">
    <dxf>
      <numFmt numFmtId="1" formatCode="0"/>
    </dxf>
    <dxf>
      <numFmt numFmtId="18" formatCode="#&quot; &quot;??/??"/>
    </dxf>
    <dxf>
      <border>
        <left style="hair">
          <color theme="4" tint="0.59996337778862885"/>
        </left>
        <right style="hair">
          <color theme="4" tint="0.59996337778862885"/>
        </right>
        <bottom style="hair">
          <color theme="4" tint="0.59996337778862885"/>
        </bottom>
        <vertical/>
        <horizontal/>
      </border>
    </dxf>
    <dxf>
      <font>
        <b/>
        <i val="0"/>
      </font>
      <fill>
        <patternFill>
          <bgColor rgb="FFFFC00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rgb="FFFFC00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rgb="FFFFC00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rgb="FFFFC00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rgb="FFFFC00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rgb="FFFFC00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b/>
        <i val="0"/>
      </font>
      <fill>
        <patternFill>
          <bgColor rgb="FFFFC000"/>
        </patternFill>
      </fill>
    </dxf>
    <dxf>
      <font>
        <color theme="0" tint="-0.24994659260841701"/>
      </font>
      <fill>
        <patternFill>
          <bgColor theme="0" tint="-0.24994659260841701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3"/>
      </font>
      <fill>
        <patternFill>
          <bgColor indexed="1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microsoft.com/office/2006/relationships/vbaProject" Target="vbaProject.bin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trlProps/ctrlProp1.xml><?xml version="1.0" encoding="utf-8"?>
<formControlPr xmlns="http://schemas.microsoft.com/office/spreadsheetml/2009/9/main" objectType="Drop" dropLines="20" dropStyle="combo" dx="22" fmlaLink="logic!$A$4" fmlaRange="logic!$B$5:$B$10" noThreeD="1" sel="1" val="0"/>
</file>

<file path=xl/ctrlProps/ctrlProp2.xml><?xml version="1.0" encoding="utf-8"?>
<formControlPr xmlns="http://schemas.microsoft.com/office/spreadsheetml/2009/9/main" objectType="Drop" dropLines="20" dropStyle="combo" dx="22" fmlaLink="logic!$A$14" fmlaRange="logic!$B$15:$B$20" noThreeD="1" sel="1" val="0"/>
</file>

<file path=xl/ctrlProps/ctrlProp3.xml><?xml version="1.0" encoding="utf-8"?>
<formControlPr xmlns="http://schemas.microsoft.com/office/spreadsheetml/2009/9/main" objectType="Drop" dropLines="20" dropStyle="combo" dx="22" fmlaLink="logic!$A$24" fmlaRange="logic!$B$25:$B$30" noThreeD="1" sel="1" val="0"/>
</file>

<file path=xl/ctrlProps/ctrlProp4.xml><?xml version="1.0" encoding="utf-8"?>
<formControlPr xmlns="http://schemas.microsoft.com/office/spreadsheetml/2009/9/main" objectType="Drop" dropLines="20" dropStyle="combo" dx="22" fmlaLink="logic!$A$34" fmlaRange="logic!$B$35:$B$40" noThreeD="1" sel="1" val="0"/>
</file>

<file path=xl/ctrlProps/ctrlProp5.xml><?xml version="1.0" encoding="utf-8"?>
<formControlPr xmlns="http://schemas.microsoft.com/office/spreadsheetml/2009/9/main" objectType="Drop" dropLines="20" dropStyle="combo" dx="22" fmlaLink="logic!$A$98" fmlaRange="logic!$B$99:$B$100" noThreeD="1" sel="1" val="0"/>
</file>

<file path=xl/ctrlProps/ctrlProp6.xml><?xml version="1.0" encoding="utf-8"?>
<formControlPr xmlns="http://schemas.microsoft.com/office/spreadsheetml/2009/9/main" objectType="Drop" dropLines="20" dropStyle="combo" dx="22" fmlaLink="logic!$A$104" fmlaRange="logic!$B$105:$B$106" noThreeD="1" sel="1" val="0"/>
</file>

<file path=xl/ctrlProps/ctrlProp7.xml><?xml version="1.0" encoding="utf-8"?>
<formControlPr xmlns="http://schemas.microsoft.com/office/spreadsheetml/2009/9/main" objectType="Drop" dropLines="20" dropStyle="combo" dx="22" fmlaLink="logic!$A$50" fmlaRange="logic!$B$51:$B$52" noThreeD="1" sel="1" val="0"/>
</file>

<file path=xl/ctrlProps/ctrlProp8.xml><?xml version="1.0" encoding="utf-8"?>
<formControlPr xmlns="http://schemas.microsoft.com/office/spreadsheetml/2009/9/main" objectType="Drop" dropLines="20" dropStyle="combo" dx="22" fmlaLink="logic!$G$4" fmlaRange="logic!$H$5:$H$16" noThreeD="1" sel="5" val="0"/>
</file>

<file path=xl/ctrlProps/ctrlProp9.xml><?xml version="1.0" encoding="utf-8"?>
<formControlPr xmlns="http://schemas.microsoft.com/office/spreadsheetml/2009/9/main" objectType="Drop" dropLines="20" dropStyle="combo" dx="22" fmlaLink="logic!$K$64" fmlaRange="logic!$L$65:$L$66" noThreeD="1" sel="1" val="0"/>
</file>

<file path=xl/ctrlProps/ctrlProp10.xml><?xml version="1.0" encoding="utf-8"?>
<formControlPr xmlns="http://schemas.microsoft.com/office/spreadsheetml/2009/9/main" objectType="Drop" dropStyle="combo" dx="22" fmlaLink="logic!$D$98" fmlaRange="logic!$E$99:$E$100" noThreeD="1" sel="2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jpeg"/><Relationship Id="rId1" Type="http://schemas.openxmlformats.org/officeDocument/2006/relationships/image" Target="../media/image3.jpeg"/><Relationship Id="rId6" Type="http://schemas.openxmlformats.org/officeDocument/2006/relationships/image" Target="../media/image8.jpeg"/><Relationship Id="rId5" Type="http://schemas.openxmlformats.org/officeDocument/2006/relationships/image" Target="../media/image7.jpeg"/><Relationship Id="rId4" Type="http://schemas.openxmlformats.org/officeDocument/2006/relationships/image" Target="../media/image6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11.emf"/><Relationship Id="rId2" Type="http://schemas.openxmlformats.org/officeDocument/2006/relationships/image" Target="../media/image10.emf"/><Relationship Id="rId1" Type="http://schemas.openxmlformats.org/officeDocument/2006/relationships/image" Target="../media/image9.emf"/><Relationship Id="rId4" Type="http://schemas.openxmlformats.org/officeDocument/2006/relationships/image" Target="../media/image12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16.emf"/><Relationship Id="rId2" Type="http://schemas.openxmlformats.org/officeDocument/2006/relationships/image" Target="../media/image15.emf"/><Relationship Id="rId1" Type="http://schemas.openxmlformats.org/officeDocument/2006/relationships/image" Target="../media/image14.emf"/><Relationship Id="rId4" Type="http://schemas.openxmlformats.org/officeDocument/2006/relationships/image" Target="../media/image17.emf"/></Relationships>
</file>

<file path=xl/drawings/_rels/vmlDrawing4.vml.rels><?xml version="1.0" encoding="UTF-8" standalone="yes"?>
<Relationships xmlns="http://schemas.openxmlformats.org/package/2006/relationships"><Relationship Id="rId3" Type="http://schemas.openxmlformats.org/officeDocument/2006/relationships/image" Target="../media/image21.emf"/><Relationship Id="rId2" Type="http://schemas.openxmlformats.org/officeDocument/2006/relationships/image" Target="../media/image20.emf"/><Relationship Id="rId1" Type="http://schemas.openxmlformats.org/officeDocument/2006/relationships/image" Target="../media/image19.emf"/><Relationship Id="rId4" Type="http://schemas.openxmlformats.org/officeDocument/2006/relationships/image" Target="../media/image1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9526</xdr:colOff>
      <xdr:row>0</xdr:row>
      <xdr:rowOff>0</xdr:rowOff>
    </xdr:from>
    <xdr:to>
      <xdr:col>5</xdr:col>
      <xdr:colOff>276225</xdr:colOff>
      <xdr:row>0</xdr:row>
      <xdr:rowOff>360000</xdr:rowOff>
    </xdr:to>
    <xdr:pic>
      <xdr:nvPicPr>
        <xdr:cNvPr id="7" name="Obrázek 6" descr="Logo KORALUX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926" y="0"/>
          <a:ext cx="1924049" cy="360000"/>
        </a:xfrm>
        <a:prstGeom prst="rect">
          <a:avLst/>
        </a:prstGeom>
      </xdr:spPr>
    </xdr:pic>
    <xdr:clientData/>
  </xdr:twoCellAnchor>
  <xdr:twoCellAnchor editAs="oneCell">
    <xdr:from>
      <xdr:col>10</xdr:col>
      <xdr:colOff>50949</xdr:colOff>
      <xdr:row>0</xdr:row>
      <xdr:rowOff>0</xdr:rowOff>
    </xdr:from>
    <xdr:to>
      <xdr:col>13</xdr:col>
      <xdr:colOff>535599</xdr:colOff>
      <xdr:row>0</xdr:row>
      <xdr:rowOff>360000</xdr:rowOff>
    </xdr:to>
    <xdr:pic>
      <xdr:nvPicPr>
        <xdr:cNvPr id="9" name="Obrázek 8" descr="Logo KORADO modré nové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22949" y="0"/>
          <a:ext cx="2142000" cy="360000"/>
        </a:xfrm>
        <a:prstGeom prst="rect">
          <a:avLst/>
        </a:prstGeom>
      </xdr:spPr>
    </xdr:pic>
    <xdr:clientData/>
  </xdr:twoCellAnchor>
  <xdr:twoCellAnchor editAs="oneCell">
    <xdr:from>
      <xdr:col>2</xdr:col>
      <xdr:colOff>19049</xdr:colOff>
      <xdr:row>8</xdr:row>
      <xdr:rowOff>106654</xdr:rowOff>
    </xdr:from>
    <xdr:to>
      <xdr:col>3</xdr:col>
      <xdr:colOff>366599</xdr:colOff>
      <xdr:row>9</xdr:row>
      <xdr:rowOff>48595</xdr:rowOff>
    </xdr:to>
    <xdr:pic>
      <xdr:nvPicPr>
        <xdr:cNvPr id="1050" name="provedeni_rondo" hidden="1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42899" y="1840204"/>
          <a:ext cx="900000" cy="13244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2</xdr:col>
      <xdr:colOff>28575</xdr:colOff>
      <xdr:row>8</xdr:row>
      <xdr:rowOff>161925</xdr:rowOff>
    </xdr:from>
    <xdr:to>
      <xdr:col>3</xdr:col>
      <xdr:colOff>376125</xdr:colOff>
      <xdr:row>9</xdr:row>
      <xdr:rowOff>44521</xdr:rowOff>
    </xdr:to>
    <xdr:pic>
      <xdr:nvPicPr>
        <xdr:cNvPr id="1051" name="provedeni_linear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52425" y="1895475"/>
          <a:ext cx="900000" cy="7309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>
    <xdr:from>
      <xdr:col>4</xdr:col>
      <xdr:colOff>133348</xdr:colOff>
      <xdr:row>8</xdr:row>
      <xdr:rowOff>66675</xdr:rowOff>
    </xdr:from>
    <xdr:to>
      <xdr:col>5</xdr:col>
      <xdr:colOff>400049</xdr:colOff>
      <xdr:row>9</xdr:row>
      <xdr:rowOff>128175</xdr:rowOff>
    </xdr:to>
    <xdr:sp macro="" textlink="">
      <xdr:nvSpPr>
        <xdr:cNvPr id="12" name="barva_bila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/>
        </xdr:cNvSpPr>
      </xdr:nvSpPr>
      <xdr:spPr>
        <a:xfrm>
          <a:off x="1562098" y="1800225"/>
          <a:ext cx="819151" cy="252000"/>
        </a:xfrm>
        <a:prstGeom prst="rect">
          <a:avLst/>
        </a:prstGeom>
        <a:gradFill>
          <a:gsLst>
            <a:gs pos="0">
              <a:srgbClr val="FF3399"/>
            </a:gs>
            <a:gs pos="25000">
              <a:srgbClr val="FF6633"/>
            </a:gs>
            <a:gs pos="50000">
              <a:srgbClr val="FFFF00"/>
            </a:gs>
            <a:gs pos="75000">
              <a:srgbClr val="01A78F"/>
            </a:gs>
            <a:gs pos="100000">
              <a:srgbClr val="3366FF"/>
            </a:gs>
          </a:gsLst>
          <a:lin ang="2700000" scaled="0"/>
        </a:gra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cs-CZ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133348</xdr:colOff>
      <xdr:row>8</xdr:row>
      <xdr:rowOff>66675</xdr:rowOff>
    </xdr:from>
    <xdr:to>
      <xdr:col>5</xdr:col>
      <xdr:colOff>400049</xdr:colOff>
      <xdr:row>9</xdr:row>
      <xdr:rowOff>128175</xdr:rowOff>
    </xdr:to>
    <xdr:sp macro="" textlink="">
      <xdr:nvSpPr>
        <xdr:cNvPr id="13" name="barva_chrom" hidden="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/>
        </xdr:cNvSpPr>
      </xdr:nvSpPr>
      <xdr:spPr>
        <a:xfrm>
          <a:off x="1562098" y="1800225"/>
          <a:ext cx="819151" cy="252000"/>
        </a:xfrm>
        <a:prstGeom prst="rect">
          <a:avLst/>
        </a:prstGeom>
        <a:gradFill flip="none" rotWithShape="1">
          <a:gsLst>
            <a:gs pos="0">
              <a:schemeClr val="bg1">
                <a:lumMod val="65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2700000" scaled="1"/>
          <a:tileRect/>
        </a:gra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cs-CZ" sz="11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10</xdr:col>
      <xdr:colOff>28576</xdr:colOff>
      <xdr:row>6</xdr:row>
      <xdr:rowOff>104775</xdr:rowOff>
    </xdr:from>
    <xdr:to>
      <xdr:col>11</xdr:col>
      <xdr:colOff>212231</xdr:colOff>
      <xdr:row>9</xdr:row>
      <xdr:rowOff>73275</xdr:rowOff>
    </xdr:to>
    <xdr:pic>
      <xdr:nvPicPr>
        <xdr:cNvPr id="19" name="pripojeni_dolu" descr="1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600576" y="1457325"/>
          <a:ext cx="736105" cy="540000"/>
        </a:xfrm>
        <a:prstGeom prst="rect">
          <a:avLst/>
        </a:prstGeom>
      </xdr:spPr>
    </xdr:pic>
    <xdr:clientData/>
  </xdr:twoCellAnchor>
  <xdr:twoCellAnchor editAs="oneCell">
    <xdr:from>
      <xdr:col>10</xdr:col>
      <xdr:colOff>38101</xdr:colOff>
      <xdr:row>5</xdr:row>
      <xdr:rowOff>142875</xdr:rowOff>
    </xdr:from>
    <xdr:to>
      <xdr:col>11</xdr:col>
      <xdr:colOff>208737</xdr:colOff>
      <xdr:row>9</xdr:row>
      <xdr:rowOff>64875</xdr:rowOff>
    </xdr:to>
    <xdr:pic>
      <xdr:nvPicPr>
        <xdr:cNvPr id="20" name="pripojeni_uhlopricne" descr="2.jpg" hidden="1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610101" y="1304925"/>
          <a:ext cx="723086" cy="684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</xdr:row>
          <xdr:rowOff>200025</xdr:rowOff>
        </xdr:from>
        <xdr:to>
          <xdr:col>11</xdr:col>
          <xdr:colOff>0</xdr:colOff>
          <xdr:row>4</xdr:row>
          <xdr:rowOff>190500</xdr:rowOff>
        </xdr:to>
        <xdr:sp macro="" textlink="">
          <xdr:nvSpPr>
            <xdr:cNvPr id="1025" name="Drop Dow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3</xdr:row>
          <xdr:rowOff>200025</xdr:rowOff>
        </xdr:from>
        <xdr:to>
          <xdr:col>13</xdr:col>
          <xdr:colOff>0</xdr:colOff>
          <xdr:row>4</xdr:row>
          <xdr:rowOff>190500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2</xdr:row>
          <xdr:rowOff>200025</xdr:rowOff>
        </xdr:from>
        <xdr:to>
          <xdr:col>11</xdr:col>
          <xdr:colOff>0</xdr:colOff>
          <xdr:row>3</xdr:row>
          <xdr:rowOff>200025</xdr:rowOff>
        </xdr:to>
        <xdr:sp macro="" textlink="">
          <xdr:nvSpPr>
            <xdr:cNvPr id="1028" name="Drop Down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2</xdr:row>
          <xdr:rowOff>200025</xdr:rowOff>
        </xdr:from>
        <xdr:to>
          <xdr:col>13</xdr:col>
          <xdr:colOff>0</xdr:colOff>
          <xdr:row>3</xdr:row>
          <xdr:rowOff>200025</xdr:rowOff>
        </xdr:to>
        <xdr:sp macro="" textlink="">
          <xdr:nvSpPr>
            <xdr:cNvPr id="1029" name="Drop Down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152400</xdr:colOff>
          <xdr:row>0</xdr:row>
          <xdr:rowOff>190500</xdr:rowOff>
        </xdr:from>
        <xdr:to>
          <xdr:col>17</xdr:col>
          <xdr:colOff>123825</xdr:colOff>
          <xdr:row>1</xdr:row>
          <xdr:rowOff>123825</xdr:rowOff>
        </xdr:to>
        <xdr:sp macro="" textlink="">
          <xdr:nvSpPr>
            <xdr:cNvPr id="1044" name="cb_Pridat_do_databaze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152400</xdr:colOff>
          <xdr:row>4</xdr:row>
          <xdr:rowOff>0</xdr:rowOff>
        </xdr:from>
        <xdr:to>
          <xdr:col>17</xdr:col>
          <xdr:colOff>123825</xdr:colOff>
          <xdr:row>5</xdr:row>
          <xdr:rowOff>114300</xdr:rowOff>
        </xdr:to>
        <xdr:sp macro="" textlink="">
          <xdr:nvSpPr>
            <xdr:cNvPr id="1045" name="cb_Zobrazit_Databazi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6</xdr:row>
          <xdr:rowOff>171450</xdr:rowOff>
        </xdr:from>
        <xdr:to>
          <xdr:col>3</xdr:col>
          <xdr:colOff>409575</xdr:colOff>
          <xdr:row>8</xdr:row>
          <xdr:rowOff>0</xdr:rowOff>
        </xdr:to>
        <xdr:sp macro="" textlink="">
          <xdr:nvSpPr>
            <xdr:cNvPr id="1046" name="cb_provedeni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6</xdr:row>
          <xdr:rowOff>171450</xdr:rowOff>
        </xdr:from>
        <xdr:to>
          <xdr:col>6</xdr:col>
          <xdr:colOff>0</xdr:colOff>
          <xdr:row>8</xdr:row>
          <xdr:rowOff>0</xdr:rowOff>
        </xdr:to>
        <xdr:sp macro="" textlink="">
          <xdr:nvSpPr>
            <xdr:cNvPr id="1047" name="cb_barva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</xdr:row>
          <xdr:rowOff>171450</xdr:rowOff>
        </xdr:from>
        <xdr:to>
          <xdr:col>10</xdr:col>
          <xdr:colOff>0</xdr:colOff>
          <xdr:row>8</xdr:row>
          <xdr:rowOff>0</xdr:rowOff>
        </xdr:to>
        <xdr:sp macro="" textlink="">
          <xdr:nvSpPr>
            <xdr:cNvPr id="1048" name="cb_pripojeni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323850</xdr:colOff>
          <xdr:row>6</xdr:row>
          <xdr:rowOff>180975</xdr:rowOff>
        </xdr:from>
        <xdr:to>
          <xdr:col>13</xdr:col>
          <xdr:colOff>533400</xdr:colOff>
          <xdr:row>8</xdr:row>
          <xdr:rowOff>9525</xdr:rowOff>
        </xdr:to>
        <xdr:sp macro="" textlink="">
          <xdr:nvSpPr>
            <xdr:cNvPr id="2" name="Drop Down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4</xdr:row>
          <xdr:rowOff>190500</xdr:rowOff>
        </xdr:from>
        <xdr:to>
          <xdr:col>5</xdr:col>
          <xdr:colOff>0</xdr:colOff>
          <xdr:row>6</xdr:row>
          <xdr:rowOff>0</xdr:rowOff>
        </xdr:to>
        <xdr:sp macro="" textlink="">
          <xdr:nvSpPr>
            <xdr:cNvPr id="3" name="cb_pripojeni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323850</xdr:colOff>
      <xdr:row>0</xdr:row>
      <xdr:rowOff>0</xdr:rowOff>
    </xdr:from>
    <xdr:to>
      <xdr:col>10</xdr:col>
      <xdr:colOff>1321391</xdr:colOff>
      <xdr:row>1</xdr:row>
      <xdr:rowOff>169500</xdr:rowOff>
    </xdr:to>
    <xdr:pic>
      <xdr:nvPicPr>
        <xdr:cNvPr id="2" name="Obrázek 2" descr="Logo KORADO modré nové 600 DPI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72250" y="0"/>
          <a:ext cx="2140541" cy="36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absolute">
        <xdr:from>
          <xdr:col>11</xdr:col>
          <xdr:colOff>152400</xdr:colOff>
          <xdr:row>11</xdr:row>
          <xdr:rowOff>133350</xdr:rowOff>
        </xdr:from>
        <xdr:to>
          <xdr:col>14</xdr:col>
          <xdr:colOff>504825</xdr:colOff>
          <xdr:row>13</xdr:row>
          <xdr:rowOff>85725</xdr:rowOff>
        </xdr:to>
        <xdr:sp macro="" textlink="">
          <xdr:nvSpPr>
            <xdr:cNvPr id="6145" name="cb_Vymaz_polozky_z_databaze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1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11</xdr:col>
          <xdr:colOff>152400</xdr:colOff>
          <xdr:row>15</xdr:row>
          <xdr:rowOff>114300</xdr:rowOff>
        </xdr:from>
        <xdr:to>
          <xdr:col>14</xdr:col>
          <xdr:colOff>476250</xdr:colOff>
          <xdr:row>17</xdr:row>
          <xdr:rowOff>57150</xdr:rowOff>
        </xdr:to>
        <xdr:sp macro="" textlink="">
          <xdr:nvSpPr>
            <xdr:cNvPr id="6146" name="cb_Vymaz_cele_databaze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0000000-0008-0000-0100-00000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152400</xdr:colOff>
          <xdr:row>2</xdr:row>
          <xdr:rowOff>104775</xdr:rowOff>
        </xdr:from>
        <xdr:to>
          <xdr:col>14</xdr:col>
          <xdr:colOff>466725</xdr:colOff>
          <xdr:row>4</xdr:row>
          <xdr:rowOff>47625</xdr:rowOff>
        </xdr:to>
        <xdr:sp macro="" textlink="">
          <xdr:nvSpPr>
            <xdr:cNvPr id="6147" name="cb_Zpet" hidden="1">
              <a:extLst>
                <a:ext uri="{63B3BB69-23CF-44E3-9099-C40C66FF867C}">
                  <a14:compatExt spid="_x0000_s6147"/>
                </a:ext>
                <a:ext uri="{FF2B5EF4-FFF2-40B4-BE49-F238E27FC236}">
                  <a16:creationId xmlns:a16="http://schemas.microsoft.com/office/drawing/2014/main" id="{00000000-0008-0000-0100-00000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11</xdr:col>
          <xdr:colOff>152400</xdr:colOff>
          <xdr:row>24</xdr:row>
          <xdr:rowOff>47625</xdr:rowOff>
        </xdr:from>
        <xdr:to>
          <xdr:col>14</xdr:col>
          <xdr:colOff>466725</xdr:colOff>
          <xdr:row>25</xdr:row>
          <xdr:rowOff>180975</xdr:rowOff>
        </xdr:to>
        <xdr:sp macro="" textlink="">
          <xdr:nvSpPr>
            <xdr:cNvPr id="6148" name="cb_Export_databaze" hidden="1">
              <a:extLst>
                <a:ext uri="{63B3BB69-23CF-44E3-9099-C40C66FF867C}">
                  <a14:compatExt spid="_x0000_s6148"/>
                </a:ext>
                <a:ext uri="{FF2B5EF4-FFF2-40B4-BE49-F238E27FC236}">
                  <a16:creationId xmlns:a16="http://schemas.microsoft.com/office/drawing/2014/main" id="{00000000-0008-0000-0100-00000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342900</xdr:colOff>
          <xdr:row>2</xdr:row>
          <xdr:rowOff>0</xdr:rowOff>
        </xdr:from>
        <xdr:to>
          <xdr:col>14</xdr:col>
          <xdr:colOff>0</xdr:colOff>
          <xdr:row>5</xdr:row>
          <xdr:rowOff>57150</xdr:rowOff>
        </xdr:to>
        <xdr:sp macro="" textlink="">
          <xdr:nvSpPr>
            <xdr:cNvPr id="8200" name="Object 8" hidden="1">
              <a:extLst>
                <a:ext uri="{63B3BB69-23CF-44E3-9099-C40C66FF867C}">
                  <a14:compatExt spid="_x0000_s8200"/>
                </a:ext>
                <a:ext uri="{FF2B5EF4-FFF2-40B4-BE49-F238E27FC236}">
                  <a16:creationId xmlns:a16="http://schemas.microsoft.com/office/drawing/2014/main" id="{00000000-0008-0000-0200-000008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123825</xdr:colOff>
          <xdr:row>5</xdr:row>
          <xdr:rowOff>19050</xdr:rowOff>
        </xdr:from>
        <xdr:to>
          <xdr:col>10</xdr:col>
          <xdr:colOff>590550</xdr:colOff>
          <xdr:row>7</xdr:row>
          <xdr:rowOff>152400</xdr:rowOff>
        </xdr:to>
        <xdr:sp macro="" textlink="">
          <xdr:nvSpPr>
            <xdr:cNvPr id="8201" name="Object 9" hidden="1">
              <a:extLst>
                <a:ext uri="{63B3BB69-23CF-44E3-9099-C40C66FF867C}">
                  <a14:compatExt spid="_x0000_s8201"/>
                </a:ext>
                <a:ext uri="{FF2B5EF4-FFF2-40B4-BE49-F238E27FC236}">
                  <a16:creationId xmlns:a16="http://schemas.microsoft.com/office/drawing/2014/main" id="{00000000-0008-0000-0200-000009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0</xdr:colOff>
          <xdr:row>3</xdr:row>
          <xdr:rowOff>219075</xdr:rowOff>
        </xdr:from>
        <xdr:to>
          <xdr:col>23</xdr:col>
          <xdr:colOff>285750</xdr:colOff>
          <xdr:row>7</xdr:row>
          <xdr:rowOff>104775</xdr:rowOff>
        </xdr:to>
        <xdr:sp macro="" textlink="">
          <xdr:nvSpPr>
            <xdr:cNvPr id="8202" name="Object 10" hidden="1">
              <a:extLst>
                <a:ext uri="{63B3BB69-23CF-44E3-9099-C40C66FF867C}">
                  <a14:compatExt spid="_x0000_s8202"/>
                </a:ext>
                <a:ext uri="{FF2B5EF4-FFF2-40B4-BE49-F238E27FC236}">
                  <a16:creationId xmlns:a16="http://schemas.microsoft.com/office/drawing/2014/main" id="{00000000-0008-0000-0200-00000A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32</xdr:col>
          <xdr:colOff>209550</xdr:colOff>
          <xdr:row>5</xdr:row>
          <xdr:rowOff>9525</xdr:rowOff>
        </xdr:from>
        <xdr:to>
          <xdr:col>33</xdr:col>
          <xdr:colOff>600075</xdr:colOff>
          <xdr:row>7</xdr:row>
          <xdr:rowOff>133350</xdr:rowOff>
        </xdr:to>
        <xdr:sp macro="" textlink="">
          <xdr:nvSpPr>
            <xdr:cNvPr id="8203" name="Object 11" hidden="1">
              <a:extLst>
                <a:ext uri="{63B3BB69-23CF-44E3-9099-C40C66FF867C}">
                  <a14:compatExt spid="_x0000_s8203"/>
                </a:ext>
                <a:ext uri="{FF2B5EF4-FFF2-40B4-BE49-F238E27FC236}">
                  <a16:creationId xmlns:a16="http://schemas.microsoft.com/office/drawing/2014/main" id="{00000000-0008-0000-0200-00000B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33</xdr:col>
          <xdr:colOff>600075</xdr:colOff>
          <xdr:row>3</xdr:row>
          <xdr:rowOff>180975</xdr:rowOff>
        </xdr:from>
        <xdr:to>
          <xdr:col>35</xdr:col>
          <xdr:colOff>285750</xdr:colOff>
          <xdr:row>5</xdr:row>
          <xdr:rowOff>180975</xdr:rowOff>
        </xdr:to>
        <xdr:sp macro="" textlink="">
          <xdr:nvSpPr>
            <xdr:cNvPr id="8204" name="Object 12" hidden="1">
              <a:extLst>
                <a:ext uri="{63B3BB69-23CF-44E3-9099-C40C66FF867C}">
                  <a14:compatExt spid="_x0000_s8204"/>
                </a:ext>
                <a:ext uri="{FF2B5EF4-FFF2-40B4-BE49-F238E27FC236}">
                  <a16:creationId xmlns:a16="http://schemas.microsoft.com/office/drawing/2014/main" id="{00000000-0008-0000-0200-00000C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47</xdr:col>
          <xdr:colOff>0</xdr:colOff>
          <xdr:row>3</xdr:row>
          <xdr:rowOff>209550</xdr:rowOff>
        </xdr:from>
        <xdr:to>
          <xdr:col>48</xdr:col>
          <xdr:colOff>314325</xdr:colOff>
          <xdr:row>6</xdr:row>
          <xdr:rowOff>9525</xdr:rowOff>
        </xdr:to>
        <xdr:sp macro="" textlink="">
          <xdr:nvSpPr>
            <xdr:cNvPr id="8205" name="Object 13" hidden="1">
              <a:extLst>
                <a:ext uri="{63B3BB69-23CF-44E3-9099-C40C66FF867C}">
                  <a14:compatExt spid="_x0000_s8205"/>
                </a:ext>
                <a:ext uri="{FF2B5EF4-FFF2-40B4-BE49-F238E27FC236}">
                  <a16:creationId xmlns:a16="http://schemas.microsoft.com/office/drawing/2014/main" id="{00000000-0008-0000-0200-00000D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58</xdr:row>
          <xdr:rowOff>0</xdr:rowOff>
        </xdr:from>
        <xdr:to>
          <xdr:col>1</xdr:col>
          <xdr:colOff>142875</xdr:colOff>
          <xdr:row>59</xdr:row>
          <xdr:rowOff>38100</xdr:rowOff>
        </xdr:to>
        <xdr:sp macro="" textlink="">
          <xdr:nvSpPr>
            <xdr:cNvPr id="3073" name="ComboBox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4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58</xdr:row>
          <xdr:rowOff>0</xdr:rowOff>
        </xdr:from>
        <xdr:to>
          <xdr:col>1</xdr:col>
          <xdr:colOff>609600</xdr:colOff>
          <xdr:row>59</xdr:row>
          <xdr:rowOff>38100</xdr:rowOff>
        </xdr:to>
        <xdr:sp macro="" textlink="">
          <xdr:nvSpPr>
            <xdr:cNvPr id="3074" name="ComboBox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4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58</xdr:row>
          <xdr:rowOff>0</xdr:rowOff>
        </xdr:from>
        <xdr:to>
          <xdr:col>3</xdr:col>
          <xdr:colOff>0</xdr:colOff>
          <xdr:row>59</xdr:row>
          <xdr:rowOff>28575</xdr:rowOff>
        </xdr:to>
        <xdr:sp macro="" textlink="">
          <xdr:nvSpPr>
            <xdr:cNvPr id="3075" name="ComboBox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4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58</xdr:row>
          <xdr:rowOff>0</xdr:rowOff>
        </xdr:from>
        <xdr:to>
          <xdr:col>5</xdr:col>
          <xdr:colOff>0</xdr:colOff>
          <xdr:row>59</xdr:row>
          <xdr:rowOff>28575</xdr:rowOff>
        </xdr:to>
        <xdr:sp macro="" textlink="">
          <xdr:nvSpPr>
            <xdr:cNvPr id="3076" name="ComboBox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4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123825</xdr:colOff>
          <xdr:row>94</xdr:row>
          <xdr:rowOff>9525</xdr:rowOff>
        </xdr:from>
        <xdr:to>
          <xdr:col>5</xdr:col>
          <xdr:colOff>9525</xdr:colOff>
          <xdr:row>95</xdr:row>
          <xdr:rowOff>104775</xdr:rowOff>
        </xdr:to>
        <xdr:sp macro="" textlink="">
          <xdr:nvSpPr>
            <xdr:cNvPr id="3078" name="Drop Down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4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namedSheetViews/namedSheetView1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Zobrazit 1" id="{4DC346C2-2E86-45EA-91BA-893319A6191B}"/>
</namedSheetView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.xml"/><Relationship Id="rId13" Type="http://schemas.openxmlformats.org/officeDocument/2006/relationships/ctrlProp" Target="../ctrlProps/ctrlProp6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trlProp" Target="../ctrlProps/ctrlProp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9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trlProp" Target="../ctrlProps/ctrlProp4.xml"/><Relationship Id="rId5" Type="http://schemas.openxmlformats.org/officeDocument/2006/relationships/image" Target="../media/image1.emf"/><Relationship Id="rId15" Type="http://schemas.openxmlformats.org/officeDocument/2006/relationships/ctrlProp" Target="../ctrlProps/ctrlProp8.xml"/><Relationship Id="rId10" Type="http://schemas.openxmlformats.org/officeDocument/2006/relationships/ctrlProp" Target="../ctrlProps/ctrlProp3.xml"/><Relationship Id="rId4" Type="http://schemas.openxmlformats.org/officeDocument/2006/relationships/control" Target="../activeX/activeX1.xml"/><Relationship Id="rId9" Type="http://schemas.openxmlformats.org/officeDocument/2006/relationships/ctrlProp" Target="../ctrlProps/ctrlProp2.xml"/><Relationship Id="rId14" Type="http://schemas.openxmlformats.org/officeDocument/2006/relationships/ctrlProp" Target="../ctrlProps/ctrlProp7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5.xml"/><Relationship Id="rId3" Type="http://schemas.openxmlformats.org/officeDocument/2006/relationships/vmlDrawing" Target="../drawings/vmlDrawing2.vml"/><Relationship Id="rId7" Type="http://schemas.openxmlformats.org/officeDocument/2006/relationships/image" Target="../media/image10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4.xml"/><Relationship Id="rId11" Type="http://schemas.openxmlformats.org/officeDocument/2006/relationships/image" Target="../media/image12.emf"/><Relationship Id="rId5" Type="http://schemas.openxmlformats.org/officeDocument/2006/relationships/image" Target="../media/image9.emf"/><Relationship Id="rId10" Type="http://schemas.openxmlformats.org/officeDocument/2006/relationships/control" Target="../activeX/activeX6.xml"/><Relationship Id="rId4" Type="http://schemas.openxmlformats.org/officeDocument/2006/relationships/control" Target="../activeX/activeX3.xml"/><Relationship Id="rId9" Type="http://schemas.openxmlformats.org/officeDocument/2006/relationships/image" Target="../media/image11.emf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oleObject" Target="../embeddings/oleObject6.bin"/><Relationship Id="rId3" Type="http://schemas.openxmlformats.org/officeDocument/2006/relationships/vmlDrawing" Target="../drawings/vmlDrawing3.vml"/><Relationship Id="rId7" Type="http://schemas.openxmlformats.org/officeDocument/2006/relationships/image" Target="../media/image15.emf"/><Relationship Id="rId12" Type="http://schemas.openxmlformats.org/officeDocument/2006/relationships/image" Target="../media/image17.emf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oleObject2.bin"/><Relationship Id="rId11" Type="http://schemas.openxmlformats.org/officeDocument/2006/relationships/oleObject" Target="../embeddings/oleObject5.bin"/><Relationship Id="rId5" Type="http://schemas.openxmlformats.org/officeDocument/2006/relationships/image" Target="../media/image14.emf"/><Relationship Id="rId10" Type="http://schemas.openxmlformats.org/officeDocument/2006/relationships/image" Target="../media/image16.emf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4.bin"/><Relationship Id="rId14" Type="http://schemas.microsoft.com/office/2019/04/relationships/namedSheetView" Target="../namedSheetViews/namedSheetView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9.xml"/><Relationship Id="rId3" Type="http://schemas.openxmlformats.org/officeDocument/2006/relationships/vmlDrawing" Target="../drawings/vmlDrawing4.vml"/><Relationship Id="rId7" Type="http://schemas.openxmlformats.org/officeDocument/2006/relationships/image" Target="../media/image19.emf"/><Relationship Id="rId12" Type="http://schemas.openxmlformats.org/officeDocument/2006/relationships/ctrlProp" Target="../ctrlProps/ctrlProp10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8.xml"/><Relationship Id="rId11" Type="http://schemas.openxmlformats.org/officeDocument/2006/relationships/image" Target="../media/image21.emf"/><Relationship Id="rId5" Type="http://schemas.openxmlformats.org/officeDocument/2006/relationships/image" Target="../media/image18.emf"/><Relationship Id="rId10" Type="http://schemas.openxmlformats.org/officeDocument/2006/relationships/control" Target="../activeX/activeX10.xml"/><Relationship Id="rId4" Type="http://schemas.openxmlformats.org/officeDocument/2006/relationships/control" Target="../activeX/activeX7.xml"/><Relationship Id="rId9" Type="http://schemas.openxmlformats.org/officeDocument/2006/relationships/image" Target="../media/image20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lavni"/>
  <dimension ref="A1:AJ88"/>
  <sheetViews>
    <sheetView showGridLines="0" showZeros="0" tabSelected="1" zoomScale="85" zoomScaleNormal="85" zoomScaleSheetLayoutView="100" workbookViewId="0">
      <pane ySplit="10" topLeftCell="A11" activePane="bottomLeft" state="frozen"/>
      <selection activeCell="M46" sqref="M46"/>
      <selection pane="bottomLeft" activeCell="M3" sqref="M3"/>
    </sheetView>
  </sheetViews>
  <sheetFormatPr defaultColWidth="0" defaultRowHeight="15" zeroHeight="1" outlineLevelRow="1" outlineLevelCol="1" x14ac:dyDescent="0.25"/>
  <cols>
    <col min="1" max="1" width="2.28515625" customWidth="1"/>
    <col min="2" max="2" width="2.140625" hidden="1" customWidth="1" outlineLevel="1"/>
    <col min="3" max="3" width="8.28515625" customWidth="1" collapsed="1"/>
    <col min="4" max="14" width="8.28515625" customWidth="1"/>
    <col min="15" max="15" width="2.5703125" customWidth="1"/>
    <col min="16" max="16" width="23" customWidth="1"/>
    <col min="17" max="17" width="7.5703125" customWidth="1"/>
    <col min="18" max="18" width="9.140625" customWidth="1"/>
    <col min="19" max="30" width="9.140625" hidden="1" customWidth="1" outlineLevel="1"/>
    <col min="31" max="31" width="0" hidden="1" customWidth="1" collapsed="1"/>
    <col min="32" max="36" width="0" hidden="1" customWidth="1"/>
    <col min="37" max="16384" width="9.140625" hidden="1"/>
  </cols>
  <sheetData>
    <row r="1" spans="1:30" ht="30.75" customHeight="1" thickBot="1" x14ac:dyDescent="0.3">
      <c r="A1" s="15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58"/>
      <c r="P1" s="158"/>
      <c r="Q1" s="158"/>
      <c r="R1" s="158"/>
    </row>
    <row r="2" spans="1:30" ht="12" customHeight="1" thickBot="1" x14ac:dyDescent="0.3">
      <c r="A2" s="158"/>
      <c r="C2" s="239" t="str">
        <f>logic!P4</f>
        <v>Температура</v>
      </c>
      <c r="D2" s="240" t="str">
        <f>logic!$N$64</f>
        <v>Celsius</v>
      </c>
      <c r="F2" s="47"/>
      <c r="G2" s="47"/>
      <c r="H2" s="19" t="str">
        <f>logic!R4</f>
        <v>Тип радиатора</v>
      </c>
      <c r="I2" s="20"/>
      <c r="J2" s="20"/>
      <c r="K2" s="20"/>
      <c r="L2" s="20"/>
      <c r="M2" s="20"/>
      <c r="N2" s="21"/>
      <c r="O2" s="158"/>
      <c r="P2" s="158"/>
      <c r="Q2" s="158"/>
      <c r="R2" s="158"/>
      <c r="T2" s="18"/>
    </row>
    <row r="3" spans="1:30" ht="15.75" thickBot="1" x14ac:dyDescent="0.3">
      <c r="A3" s="158"/>
      <c r="C3" s="48" t="s">
        <v>21</v>
      </c>
      <c r="D3" s="48" t="s">
        <v>22</v>
      </c>
      <c r="E3" s="48" t="s">
        <v>6</v>
      </c>
      <c r="F3" s="48" t="s">
        <v>23</v>
      </c>
      <c r="H3" s="22"/>
      <c r="I3" s="23"/>
      <c r="J3" s="23" t="str">
        <f>logic!O4&amp;" "&amp;logic!M4</f>
        <v>Тепловая мощность от</v>
      </c>
      <c r="K3" s="24"/>
      <c r="L3" s="25" t="str">
        <f>logic!C45&amp; " "&amp;logic!N4</f>
        <v>W до</v>
      </c>
      <c r="M3" s="24"/>
      <c r="N3" s="26" t="str">
        <f>logic!C45</f>
        <v>W</v>
      </c>
      <c r="O3" s="158"/>
      <c r="P3" s="158"/>
      <c r="Q3" s="158"/>
      <c r="R3" s="158"/>
      <c r="T3" s="18"/>
    </row>
    <row r="4" spans="1:30" ht="16.5" customHeight="1" thickBot="1" x14ac:dyDescent="0.3">
      <c r="A4" s="158"/>
      <c r="C4" s="84">
        <v>75</v>
      </c>
      <c r="D4" s="84">
        <v>65</v>
      </c>
      <c r="E4" s="84">
        <v>20</v>
      </c>
      <c r="F4" s="85">
        <f>(C4+D4)/2-E4</f>
        <v>50</v>
      </c>
      <c r="H4" s="22"/>
      <c r="I4" s="25"/>
      <c r="J4" s="23" t="str">
        <f>logic!K4&amp;" "&amp;logic!M4</f>
        <v>Высота от</v>
      </c>
      <c r="K4" s="25" t="str">
        <f>logic!B24</f>
        <v>всё</v>
      </c>
      <c r="L4" s="25" t="str">
        <f>logic!$O$64&amp;" "&amp;logic!$N$4</f>
        <v>mm до</v>
      </c>
      <c r="M4" s="58" t="str">
        <f>logic!B34</f>
        <v>всё</v>
      </c>
      <c r="N4" s="27" t="str">
        <f>logic!$O$64</f>
        <v>mm</v>
      </c>
      <c r="O4" s="158"/>
      <c r="P4" s="158"/>
      <c r="Q4" s="158"/>
      <c r="R4" s="158"/>
    </row>
    <row r="5" spans="1:30" ht="16.5" customHeight="1" thickBot="1" x14ac:dyDescent="0.3">
      <c r="A5" s="158"/>
      <c r="C5" s="33" t="str">
        <f>logic!J4</f>
        <v>Тепловые мощности согл. EN 442</v>
      </c>
      <c r="D5" s="33"/>
      <c r="E5" s="33"/>
      <c r="F5" s="33"/>
      <c r="H5" s="28"/>
      <c r="I5" s="29"/>
      <c r="J5" s="30" t="str">
        <f>logic!L4&amp;" "&amp;logic!M4</f>
        <v>Длина от</v>
      </c>
      <c r="K5" s="31" t="str">
        <f>logic!B4</f>
        <v>всё</v>
      </c>
      <c r="L5" s="31" t="str">
        <f>logic!$O$64&amp;" "&amp;logic!$N$4</f>
        <v>mm до</v>
      </c>
      <c r="M5" s="31" t="str">
        <f>logic!B14</f>
        <v>всё</v>
      </c>
      <c r="N5" s="32" t="str">
        <f>logic!$O$64</f>
        <v>mm</v>
      </c>
      <c r="O5" s="158"/>
      <c r="P5" s="158"/>
      <c r="Q5" s="158"/>
      <c r="R5" s="158"/>
    </row>
    <row r="6" spans="1:30" ht="15" customHeight="1" x14ac:dyDescent="0.25">
      <c r="A6" s="158"/>
      <c r="C6" s="86">
        <f>IF(OR(C4&lt;7,D4&lt;6,C4&gt;110,D4&gt;110,C4&lt;=D4,F4&lt;=0,E4&lt;4,E4&gt;40.5),logic!Q4,0)</f>
        <v>0</v>
      </c>
      <c r="O6" s="158"/>
      <c r="P6" s="158"/>
      <c r="Q6" s="158"/>
      <c r="R6" s="158"/>
      <c r="U6" s="34"/>
      <c r="V6" s="47"/>
    </row>
    <row r="7" spans="1:30" ht="15" customHeight="1" x14ac:dyDescent="0.25">
      <c r="A7" s="158"/>
      <c r="C7" s="210" t="str">
        <f>logic!$AB$4</f>
        <v xml:space="preserve">Исполнение      </v>
      </c>
      <c r="D7" s="211"/>
      <c r="E7" s="210" t="str">
        <f>logic!$AC$4</f>
        <v>Oтделка поверности</v>
      </c>
      <c r="F7" s="211"/>
      <c r="G7" s="34"/>
      <c r="H7" s="212" t="str">
        <f>logic!U4</f>
        <v>Способ подключения</v>
      </c>
      <c r="I7" s="211"/>
      <c r="J7" s="34"/>
      <c r="K7" s="47"/>
      <c r="L7" s="34"/>
      <c r="M7" s="165"/>
      <c r="N7" s="34"/>
      <c r="O7" s="158"/>
      <c r="P7" s="158"/>
      <c r="Q7" s="158"/>
      <c r="R7" s="158"/>
    </row>
    <row r="8" spans="1:30" ht="15" customHeight="1" x14ac:dyDescent="0.25">
      <c r="A8" s="158"/>
      <c r="C8" s="211" t="str">
        <f>logic!B98</f>
        <v>LINEAR</v>
      </c>
      <c r="D8" s="211"/>
      <c r="E8" s="211" t="str">
        <f>logic!B104</f>
        <v>КРАСКА</v>
      </c>
      <c r="F8" s="211"/>
      <c r="G8" s="34"/>
      <c r="H8" s="213" t="str">
        <f>lblZpusobPripojeni</f>
        <v>нижнее снизу вниз</v>
      </c>
      <c r="I8" s="211"/>
      <c r="J8" s="34"/>
      <c r="K8" s="34"/>
      <c r="L8" s="34"/>
      <c r="M8" s="34"/>
      <c r="N8" s="34"/>
      <c r="O8" s="159"/>
      <c r="P8" s="261" t="str">
        <f>logic!L24</f>
        <v>Количество записей в базе данный:</v>
      </c>
      <c r="Q8" s="262">
        <f>MAX(Databáze!A:A)</f>
        <v>0</v>
      </c>
      <c r="R8" s="158"/>
      <c r="T8" s="18"/>
    </row>
    <row r="9" spans="1:30" ht="15" customHeight="1" x14ac:dyDescent="0.25">
      <c r="A9" s="158"/>
      <c r="C9" s="34"/>
      <c r="D9" s="34"/>
      <c r="E9" s="34"/>
      <c r="F9" s="34"/>
      <c r="G9" s="34"/>
      <c r="H9" s="211"/>
      <c r="I9" s="211"/>
      <c r="J9" s="34"/>
      <c r="K9" s="34"/>
      <c r="L9" s="34"/>
      <c r="M9" s="34"/>
      <c r="N9" s="47"/>
      <c r="O9" s="158"/>
      <c r="P9" s="261"/>
      <c r="Q9" s="262"/>
      <c r="R9" s="158"/>
    </row>
    <row r="10" spans="1:30" ht="15" customHeight="1" thickBot="1" x14ac:dyDescent="0.3">
      <c r="A10" s="158"/>
      <c r="C10" s="167"/>
      <c r="D10" s="167"/>
      <c r="E10" s="167"/>
      <c r="F10" s="167"/>
      <c r="G10" s="167"/>
      <c r="H10" s="167"/>
      <c r="I10" s="167"/>
      <c r="J10" s="167"/>
      <c r="K10" s="167"/>
      <c r="L10" s="167"/>
      <c r="M10" s="167"/>
      <c r="N10" s="166"/>
      <c r="O10" s="158"/>
      <c r="P10" s="158"/>
      <c r="Q10" s="158"/>
      <c r="R10" s="158"/>
    </row>
    <row r="11" spans="1:30" ht="4.5" customHeight="1" thickTop="1" thickBot="1" x14ac:dyDescent="0.3">
      <c r="A11" s="158"/>
      <c r="D11" s="47"/>
      <c r="I11" s="34"/>
      <c r="J11" s="34"/>
      <c r="K11" s="34"/>
      <c r="L11" s="34"/>
      <c r="M11" s="34"/>
      <c r="N11" s="34"/>
      <c r="O11" s="158"/>
      <c r="P11" s="158"/>
      <c r="Q11" s="158"/>
      <c r="R11" s="158"/>
    </row>
    <row r="12" spans="1:30" ht="15.75" hidden="1" outlineLevel="1" thickBot="1" x14ac:dyDescent="0.3">
      <c r="A12" s="158"/>
      <c r="C12" s="34"/>
      <c r="D12" s="34">
        <f>IF(AND($K$4=logic!$I$4,$M$4=logic!$I$4),1,IF(D15=$K$4,1,0))</f>
        <v>1</v>
      </c>
      <c r="E12" s="34">
        <f>IF(AND($K$4=logic!$I$4,$M$4=logic!$I$4),1,IF(AND(E15&gt;=$K$4,E15&lt;=$M$4),1,0))</f>
        <v>1</v>
      </c>
      <c r="F12" s="34">
        <f>IF(AND($K$4=logic!$I$4,$M$4=logic!$I$4),1,IF(AND(F15&gt;=$K$4,F15&lt;=$M$4),1,0))</f>
        <v>1</v>
      </c>
      <c r="G12" s="34">
        <f>IF(AND($K$4=logic!$I$4,$M$4=logic!$I$4),1,IF(AND(G15&gt;=$K$4,G15&lt;=$M$4),1,0))</f>
        <v>1</v>
      </c>
      <c r="H12" s="34">
        <f>IF(AND($K$4=logic!$I$4,$M$4=logic!$I$4),1,IF(AND(H15&gt;=$K$4,H15&lt;=$M$4),1,0))</f>
        <v>1</v>
      </c>
      <c r="I12" s="34">
        <f>IF(logic!$A$50=2,0,IF(AND($K$4=logic!$I$4,$M$4=logic!$I$4),1,IF(I15=$K$4,1,0)))</f>
        <v>1</v>
      </c>
      <c r="J12" s="34">
        <f>IF(logic!$A$50=2,0,IF(AND($K$4=logic!$I$4,$M$4=logic!$I$4),1,IF(AND(E15&gt;=$K$4,E15&lt;=$M$4),1,0)))</f>
        <v>1</v>
      </c>
      <c r="K12" s="34">
        <f>IF(logic!$A$50=2,0,IF(AND($K$4=logic!$I$4,$M$4=logic!$I$4),1,IF(AND(F15&gt;=$K$4,F15&lt;=$M$4),1,0)))</f>
        <v>1</v>
      </c>
      <c r="L12" s="34">
        <f>IF(logic!$A$50=2,0,IF(AND($K$4=logic!$I$4,$M$4=logic!$I$4),1,IF(AND(G15&gt;=$K$4,G15&lt;=$M$4),1,0)))</f>
        <v>1</v>
      </c>
      <c r="M12" s="34">
        <f>IF(logic!$A$50=2,0,IF(AND($K$4=logic!$I$4,$M$4=logic!$I$4),1,IF(AND(H15&gt;=$K$4,H15&lt;=$M$4),1,0)))</f>
        <v>1</v>
      </c>
      <c r="N12" s="34"/>
      <c r="O12" s="158"/>
      <c r="P12" s="158"/>
      <c r="Q12" s="158"/>
      <c r="R12" s="158"/>
    </row>
    <row r="13" spans="1:30" ht="13.5" customHeight="1" collapsed="1" thickBot="1" x14ac:dyDescent="0.3">
      <c r="A13" s="158"/>
      <c r="C13" s="34"/>
      <c r="D13" s="60" t="s">
        <v>266</v>
      </c>
      <c r="E13" s="61"/>
      <c r="F13" s="61"/>
      <c r="G13" s="61"/>
      <c r="H13" s="61"/>
      <c r="I13" s="60" t="s">
        <v>268</v>
      </c>
      <c r="J13" s="61"/>
      <c r="K13" s="61"/>
      <c r="L13" s="61"/>
      <c r="M13" s="62"/>
      <c r="N13" s="34"/>
      <c r="O13" s="158"/>
      <c r="P13" s="158"/>
      <c r="Q13" s="158"/>
      <c r="R13" s="158"/>
      <c r="S13" s="34"/>
      <c r="T13" s="60" t="s">
        <v>266</v>
      </c>
      <c r="U13" s="61"/>
      <c r="V13" s="61"/>
      <c r="W13" s="61"/>
      <c r="X13" s="61"/>
      <c r="Y13" s="60" t="s">
        <v>268</v>
      </c>
      <c r="Z13" s="61"/>
      <c r="AA13" s="61"/>
      <c r="AB13" s="61"/>
      <c r="AC13" s="62"/>
      <c r="AD13" s="34"/>
    </row>
    <row r="14" spans="1:30" ht="13.5" customHeight="1" thickBot="1" x14ac:dyDescent="0.3">
      <c r="A14" s="158"/>
      <c r="C14" s="7" t="str">
        <f>logic!$L$4</f>
        <v>Длина</v>
      </c>
      <c r="D14" s="229" t="str">
        <f>logic!$K$4&amp;" H ["&amp;logic!$O$64&amp;"]"</f>
        <v>Высота H [mm]</v>
      </c>
      <c r="E14" s="230"/>
      <c r="F14" s="230"/>
      <c r="G14" s="230"/>
      <c r="H14" s="231"/>
      <c r="I14" s="229" t="str">
        <f>logic!$K$4&amp;" H ["&amp;logic!$O$64&amp;"]"</f>
        <v>Высота H [mm]</v>
      </c>
      <c r="J14" s="230"/>
      <c r="K14" s="230"/>
      <c r="L14" s="230"/>
      <c r="M14" s="231"/>
      <c r="N14" s="7" t="str">
        <f>logic!$L$4</f>
        <v>Длина</v>
      </c>
      <c r="O14" s="158"/>
      <c r="P14" s="158"/>
      <c r="Q14" s="158"/>
      <c r="R14" s="158"/>
      <c r="S14" s="7" t="str">
        <f>logic!$L$4</f>
        <v>Длина</v>
      </c>
      <c r="T14" s="63" t="str">
        <f>logic!$K$4&amp;" H [mm]"</f>
        <v>Высота H [mm]</v>
      </c>
      <c r="U14" s="64"/>
      <c r="V14" s="64"/>
      <c r="W14" s="64"/>
      <c r="X14" s="65"/>
      <c r="Y14" s="63" t="str">
        <f>logic!$K$4&amp;" H [mm]"</f>
        <v>Высота H [mm]</v>
      </c>
      <c r="Z14" s="64"/>
      <c r="AA14" s="64"/>
      <c r="AB14" s="64"/>
      <c r="AC14" s="65"/>
      <c r="AD14" s="7" t="str">
        <f>logic!$L$4</f>
        <v>Длина</v>
      </c>
    </row>
    <row r="15" spans="1:30" ht="13.5" customHeight="1" thickBot="1" x14ac:dyDescent="0.3">
      <c r="A15" s="158"/>
      <c r="C15" s="8" t="str">
        <f>"L ["&amp;logic!$O$64&amp;"]"</f>
        <v>L [mm]</v>
      </c>
      <c r="D15" s="232">
        <f>IF(logic!$K$64=2,výkony!C16/logic!$M$64,výkony!C16)</f>
        <v>700</v>
      </c>
      <c r="E15" s="233">
        <f>IF(logic!$K$64=2,výkony!D16/logic!$M$64,výkony!D16)</f>
        <v>900</v>
      </c>
      <c r="F15" s="233">
        <f>IF(logic!$K$64=2,výkony!E16/logic!$M$64,výkony!E16)</f>
        <v>1220</v>
      </c>
      <c r="G15" s="233">
        <f>IF(logic!$K$64=2,výkony!F16/logic!$M$64,výkony!F16)</f>
        <v>1500</v>
      </c>
      <c r="H15" s="234">
        <f>IF(logic!$K$64=2,výkony!G16/logic!$M$64,výkony!G16)</f>
        <v>1820</v>
      </c>
      <c r="I15" s="236">
        <f>IF(logic!$K$64=2,výkony!H16/logic!$M$64,výkony!H16)</f>
        <v>700</v>
      </c>
      <c r="J15" s="233">
        <f>IF(logic!$K$64=2,výkony!I16/logic!$M$64,výkony!I16)</f>
        <v>900</v>
      </c>
      <c r="K15" s="233">
        <f>IF(logic!$K$64=2,výkony!J16/logic!$M$64,výkony!J16)</f>
        <v>1220</v>
      </c>
      <c r="L15" s="233">
        <f>IF(logic!$K$64=2,výkony!K16/logic!$M$64,výkony!K16)</f>
        <v>1500</v>
      </c>
      <c r="M15" s="234">
        <f>IF(logic!$K$64=2,výkony!L16/logic!$M$64,výkony!L16)</f>
        <v>1820</v>
      </c>
      <c r="N15" s="8" t="str">
        <f>"L ["&amp;logic!$O$64&amp;"]"</f>
        <v>L [mm]</v>
      </c>
      <c r="O15" s="158"/>
      <c r="P15" s="158"/>
      <c r="Q15" s="158"/>
      <c r="R15" s="158"/>
      <c r="S15" s="8" t="s">
        <v>201</v>
      </c>
      <c r="T15" s="95">
        <v>700</v>
      </c>
      <c r="U15" s="96">
        <v>900</v>
      </c>
      <c r="V15" s="96">
        <v>1220</v>
      </c>
      <c r="W15" s="96">
        <v>1500</v>
      </c>
      <c r="X15" s="97">
        <v>1820</v>
      </c>
      <c r="Y15" s="95">
        <v>700</v>
      </c>
      <c r="Z15" s="96">
        <v>900</v>
      </c>
      <c r="AA15" s="96">
        <v>1220</v>
      </c>
      <c r="AB15" s="96">
        <v>1500</v>
      </c>
      <c r="AC15" s="97">
        <v>1820</v>
      </c>
      <c r="AD15" s="8" t="s">
        <v>201</v>
      </c>
    </row>
    <row r="16" spans="1:30" ht="13.5" customHeight="1" x14ac:dyDescent="0.25">
      <c r="A16" s="158"/>
      <c r="B16">
        <f>IF(AND($K$5=logic!$I$4,$M$5=logic!$I$4),1,IF(AND(C16&gt;=$K$5,C16&lt;=$M$5),1,0))</f>
        <v>1</v>
      </c>
      <c r="C16" s="223">
        <f>IF(logic!$K$64=2,výkony!B17/logic!$M$64,výkony!B17)</f>
        <v>450</v>
      </c>
      <c r="D16" s="12">
        <f>IF(OR(D$12=0,$B16=0),0,IF(výkony!$D$8&lt;0.7,IF(logic!$A$50=1,výkony!C17,výkony!P17),IF(logic!$A$50=1,výkony!AD17,výkony!AI17)))</f>
        <v>320</v>
      </c>
      <c r="E16" s="13">
        <f>IF(OR(E$12=0,$B16=0),0,IF(výkony!$D$8&lt;0.7,IF(logic!$A$50=1,výkony!D17,výkony!Q17),IF(logic!$A$50=1,výkony!AE17,výkony!AJ17)))</f>
        <v>411</v>
      </c>
      <c r="F16" s="13">
        <f>IF(OR(F$12=0,$B16=0),0,IF(výkony!$D$8&lt;0.7,IF(logic!$A$50=1,výkony!E17,výkony!R17),IF(logic!$A$50=1,výkony!AF17,výkony!AK17)))</f>
        <v>557</v>
      </c>
      <c r="G16" s="13">
        <f>IF(OR(G$12=0,$B16=0),0,IF(výkony!$D$8&lt;0.7,IF(logic!$A$50=1,výkony!F17,výkony!S17),IF(logic!$A$50=1,výkony!AG17,výkony!AL17)))</f>
        <v>686</v>
      </c>
      <c r="H16" s="14">
        <f>IF(OR(H$12=0,$B16=0),0,IF(výkony!$D$8&lt;0.7,IF(logic!$A$50=1,výkony!G17,výkony!T17),IF(logic!$A$50=1,výkony!AH17,výkony!AM17)))</f>
        <v>833</v>
      </c>
      <c r="I16" s="12">
        <f>IF(OR(I$12=0,$B16=0),0,IF(výkony!$D$8&lt;0.7,IF(logic!$A$50=1,výkony!H17,výkony!U17),IF(logic!$A$50=1,výkony!AI17,výkony!AN17)))</f>
        <v>320</v>
      </c>
      <c r="J16" s="13">
        <f>IF(OR(J$12=0,$B16=0),0,IF(výkony!$D$8&lt;0.7,IF(logic!$A$50=1,výkony!I17,výkony!V17),IF(logic!$A$50=1,výkony!AJ17,výkony!AO17)))</f>
        <v>411</v>
      </c>
      <c r="K16" s="13">
        <f>IF(OR(K$12=0,$B16=0),0,IF(výkony!$D$8&lt;0.7,IF(logic!$A$50=1,výkony!J17,výkony!W17),IF(logic!$A$50=1,výkony!AK17,výkony!AP17)))</f>
        <v>557</v>
      </c>
      <c r="L16" s="13">
        <f>IF(OR(L$12=0,$B16=0),0,IF(výkony!$D$8&lt;0.7,IF(logic!$A$50=1,výkony!K17,výkony!X17),IF(logic!$A$50=1,výkony!AL17,výkony!AQ17)))</f>
        <v>686</v>
      </c>
      <c r="M16" s="14">
        <f>IF(OR(M$12=0,$B16=0),0,IF(výkony!$D$8&lt;0.7,IF(logic!$A$50=1,výkony!L17,výkony!Y17),IF(logic!$A$50=1,výkony!AM17,výkony!AR17)))</f>
        <v>833</v>
      </c>
      <c r="N16" s="223">
        <f>C16</f>
        <v>450</v>
      </c>
      <c r="O16" s="158"/>
      <c r="P16" s="158"/>
      <c r="Q16" s="158"/>
      <c r="R16" s="158"/>
      <c r="S16" s="92">
        <v>450</v>
      </c>
      <c r="T16" s="113" t="str">
        <f>"KLM-"&amp;IF(LEN(T$15)=3,"0"&amp;T$15/10,T$15/10)&amp;"0"&amp;$S16/10&amp;"-00-10"</f>
        <v>KLM-070045-00-10</v>
      </c>
      <c r="U16" s="114" t="str">
        <f t="shared" ref="U16:X16" si="0">"KLM-"&amp;IF(LEN(U$15)=3,"0"&amp;U$15/10,U$15/10)&amp;"0"&amp;$S16/10&amp;"-00-10"</f>
        <v>KLM-090045-00-10</v>
      </c>
      <c r="V16" s="114" t="str">
        <f t="shared" si="0"/>
        <v>KLM-122045-00-10</v>
      </c>
      <c r="W16" s="114" t="str">
        <f t="shared" si="0"/>
        <v>KLM-150045-00-10</v>
      </c>
      <c r="X16" s="115" t="str">
        <f t="shared" si="0"/>
        <v>KLM-182045-00-10</v>
      </c>
      <c r="Y16" s="113" t="str">
        <f>"KLM-"&amp;IF(LEN(Y$15)=3,"0"&amp;Y$15/10,Y$15/10)&amp;"0"&amp;$S16/10&amp;"-00M10"</f>
        <v>KLM-070045-00M10</v>
      </c>
      <c r="Z16" s="114" t="str">
        <f t="shared" ref="Z16:AC16" si="1">"KLM-"&amp;IF(LEN(Z$15)=3,"0"&amp;Z$15/10,Z$15/10)&amp;"0"&amp;$S16/10&amp;"-00M10"</f>
        <v>KLM-090045-00M10</v>
      </c>
      <c r="AA16" s="114" t="str">
        <f t="shared" si="1"/>
        <v>KLM-122045-00M10</v>
      </c>
      <c r="AB16" s="114" t="str">
        <f t="shared" si="1"/>
        <v>KLM-150045-00M10</v>
      </c>
      <c r="AC16" s="115" t="str">
        <f t="shared" si="1"/>
        <v>KLM-182045-00M10</v>
      </c>
      <c r="AD16" s="92">
        <v>450</v>
      </c>
    </row>
    <row r="17" spans="1:30" ht="13.5" customHeight="1" x14ac:dyDescent="0.25">
      <c r="A17" s="158"/>
      <c r="B17">
        <f>IF(AND($K$5=logic!$I$4,$M$5=logic!$I$4),1,IF(AND(C17&gt;=$K$5,C17&lt;=$M$5),1,0))</f>
        <v>1</v>
      </c>
      <c r="C17" s="224">
        <f>IF(logic!$K$64=2,výkony!B18/logic!$M$64,výkony!B18)</f>
        <v>600</v>
      </c>
      <c r="D17" s="2">
        <f>IF(OR(D$12=0,$B17=0),0,IF(výkony!$D$8&lt;0.7,IF(logic!$A$50=1,výkony!C18,výkony!P18),IF(logic!$A$50=1,výkony!AD18,výkony!AI18)))</f>
        <v>422</v>
      </c>
      <c r="E17" s="1">
        <f>IF(OR(E$12=0,$B17=0),0,IF(výkony!$D$8&lt;0.7,IF(logic!$A$50=1,výkony!D18,výkony!Q18),IF(logic!$A$50=1,výkony!AE18,výkony!AJ18)))</f>
        <v>543</v>
      </c>
      <c r="F17" s="1">
        <f>IF(OR(F$12=0,$B17=0),0,IF(výkony!$D$8&lt;0.7,IF(logic!$A$50=1,výkony!E18,výkony!R18),IF(logic!$A$50=1,výkony!AF18,výkony!AK18)))</f>
        <v>736</v>
      </c>
      <c r="G17" s="1">
        <f>IF(OR(G$12=0,$B17=0),0,IF(výkony!$D$8&lt;0.7,IF(logic!$A$50=1,výkony!F18,výkony!S18),IF(logic!$A$50=1,výkony!AG18,výkony!AL18)))</f>
        <v>906</v>
      </c>
      <c r="H17" s="3">
        <f>IF(OR(H$12=0,$B17=0),0,IF(výkony!$D$8&lt;0.7,IF(logic!$A$50=1,výkony!G18,výkony!T18),IF(logic!$A$50=1,výkony!AH18,výkony!AM18)))</f>
        <v>1101</v>
      </c>
      <c r="I17" s="2">
        <f>IF(OR(I$12=0,$B17=0),0,IF(výkony!$D$8&lt;0.7,IF(logic!$A$50=1,výkony!H18,výkony!U18),IF(logic!$A$50=1,výkony!AI18,výkony!AN18)))</f>
        <v>422</v>
      </c>
      <c r="J17" s="1">
        <f>IF(OR(J$12=0,$B17=0),0,IF(výkony!$D$8&lt;0.7,IF(logic!$A$50=1,výkony!I18,výkony!V18),IF(logic!$A$50=1,výkony!AJ18,výkony!AO18)))</f>
        <v>543</v>
      </c>
      <c r="K17" s="1">
        <f>IF(OR(K$12=0,$B17=0),0,IF(výkony!$D$8&lt;0.7,IF(logic!$A$50=1,výkony!J18,výkony!W18),IF(logic!$A$50=1,výkony!AK18,výkony!AP18)))</f>
        <v>736</v>
      </c>
      <c r="L17" s="1">
        <f>IF(OR(L$12=0,$B17=0),0,IF(výkony!$D$8&lt;0.7,IF(logic!$A$50=1,výkony!K18,výkony!X18),IF(logic!$A$50=1,výkony!AL18,výkony!AQ18)))</f>
        <v>906</v>
      </c>
      <c r="M17" s="3">
        <f>IF(OR(M$12=0,$B17=0),0,IF(výkony!$D$8&lt;0.7,IF(logic!$A$50=1,výkony!L18,výkony!Y18),IF(logic!$A$50=1,výkony!AM18,výkony!AR18)))</f>
        <v>1101</v>
      </c>
      <c r="N17" s="224">
        <f t="shared" ref="N17:N18" si="2">C17</f>
        <v>600</v>
      </c>
      <c r="O17" s="158"/>
      <c r="P17" s="158"/>
      <c r="Q17" s="158"/>
      <c r="R17" s="158"/>
      <c r="S17" s="93">
        <v>600</v>
      </c>
      <c r="T17" s="116" t="str">
        <f t="shared" ref="T17:X18" si="3">"KLM-"&amp;IF(LEN(T$15)=3,"0"&amp;T$15/10,T$15/10)&amp;"0"&amp;$S17/10&amp;"-00-10"</f>
        <v>KLM-070060-00-10</v>
      </c>
      <c r="U17" s="117" t="str">
        <f t="shared" si="3"/>
        <v>KLM-090060-00-10</v>
      </c>
      <c r="V17" s="117" t="str">
        <f t="shared" si="3"/>
        <v>KLM-122060-00-10</v>
      </c>
      <c r="W17" s="117" t="str">
        <f t="shared" si="3"/>
        <v>KLM-150060-00-10</v>
      </c>
      <c r="X17" s="118" t="str">
        <f t="shared" si="3"/>
        <v>KLM-182060-00-10</v>
      </c>
      <c r="Y17" s="116" t="str">
        <f t="shared" ref="Y17:AC18" si="4">"KLM-"&amp;IF(LEN(Y$15)=3,"0"&amp;Y$15/10,Y$15/10)&amp;"0"&amp;$S17/10&amp;"-00M10"</f>
        <v>KLM-070060-00M10</v>
      </c>
      <c r="Z17" s="117" t="str">
        <f t="shared" si="4"/>
        <v>KLM-090060-00M10</v>
      </c>
      <c r="AA17" s="117" t="str">
        <f t="shared" si="4"/>
        <v>KLM-122060-00M10</v>
      </c>
      <c r="AB17" s="117" t="str">
        <f t="shared" si="4"/>
        <v>KLM-150060-00M10</v>
      </c>
      <c r="AC17" s="118" t="str">
        <f t="shared" si="4"/>
        <v>KLM-182060-00M10</v>
      </c>
      <c r="AD17" s="93">
        <v>600</v>
      </c>
    </row>
    <row r="18" spans="1:30" ht="13.5" customHeight="1" thickBot="1" x14ac:dyDescent="0.3">
      <c r="A18" s="158"/>
      <c r="B18">
        <f>IF(AND($K$5=logic!$I$4,$M$5=logic!$I$4),1,IF(AND(C18&gt;=$K$5,C18&lt;=$M$5),1,0))</f>
        <v>1</v>
      </c>
      <c r="C18" s="225">
        <f>IF(logic!$K$64=2,výkony!B19/logic!$M$64,výkony!B19)</f>
        <v>750</v>
      </c>
      <c r="D18" s="4">
        <f>IF(OR(D$12=0,$B18=0),0,IF(výkony!$D$8&lt;0.7,IF(logic!$A$50=1,výkony!C19,výkony!P19),IF(logic!$A$50=1,výkony!AD19,výkony!AI19)))</f>
        <v>524</v>
      </c>
      <c r="E18" s="5">
        <f>IF(OR(E$12=0,$B18=0),0,IF(výkony!$D$8&lt;0.7,IF(logic!$A$50=1,výkony!D19,výkony!Q19),IF(logic!$A$50=1,výkony!AE19,výkony!AJ19)))</f>
        <v>673</v>
      </c>
      <c r="F18" s="5">
        <f>IF(OR(F$12=0,$B18=0),0,IF(výkony!$D$8&lt;0.7,IF(logic!$A$50=1,výkony!E19,výkony!R19),IF(logic!$A$50=1,výkony!AF19,výkony!AK19)))</f>
        <v>913</v>
      </c>
      <c r="G18" s="5">
        <f>IF(OR(G$12=0,$B18=0),0,IF(výkony!$D$8&lt;0.7,IF(logic!$A$50=1,výkony!F19,výkony!S19),IF(logic!$A$50=1,výkony!AG19,výkony!AL19)))</f>
        <v>1124</v>
      </c>
      <c r="H18" s="6">
        <f>IF(OR(H$12=0,$B18=0),0,IF(výkony!$D$8&lt;0.7,IF(logic!$A$50=1,výkony!G19,výkony!T19),IF(logic!$A$50=1,výkony!AH19,výkony!AM19)))</f>
        <v>1367</v>
      </c>
      <c r="I18" s="4">
        <f>IF(OR(I$12=0,$B18=0),0,IF(výkony!$D$8&lt;0.7,IF(logic!$A$50=1,výkony!H19,výkony!U19),IF(logic!$A$50=1,výkony!AI19,výkony!AN19)))</f>
        <v>524</v>
      </c>
      <c r="J18" s="5">
        <f>IF(OR(J$12=0,$B18=0),0,IF(výkony!$D$8&lt;0.7,IF(logic!$A$50=1,výkony!I19,výkony!V19),IF(logic!$A$50=1,výkony!AJ19,výkony!AO19)))</f>
        <v>673</v>
      </c>
      <c r="K18" s="5">
        <f>IF(OR(K$12=0,$B18=0),0,IF(výkony!$D$8&lt;0.7,IF(logic!$A$50=1,výkony!J19,výkony!W19),IF(logic!$A$50=1,výkony!AK19,výkony!AP19)))</f>
        <v>913</v>
      </c>
      <c r="L18" s="5">
        <f>IF(OR(L$12=0,$B18=0),0,IF(výkony!$D$8&lt;0.7,IF(logic!$A$50=1,výkony!K19,výkony!X19),IF(logic!$A$50=1,výkony!AL19,výkony!AQ19)))</f>
        <v>1124</v>
      </c>
      <c r="M18" s="6">
        <f>IF(OR(M$12=0,$B18=0),0,IF(výkony!$D$8&lt;0.7,IF(logic!$A$50=1,výkony!L19,výkony!Y19),IF(logic!$A$50=1,výkony!AM19,výkony!AR19)))</f>
        <v>1367</v>
      </c>
      <c r="N18" s="225">
        <f t="shared" si="2"/>
        <v>750</v>
      </c>
      <c r="O18" s="158"/>
      <c r="P18" s="158"/>
      <c r="Q18" s="158"/>
      <c r="R18" s="158"/>
      <c r="S18" s="94">
        <v>750</v>
      </c>
      <c r="T18" s="119" t="str">
        <f t="shared" si="3"/>
        <v>KLM-070075-00-10</v>
      </c>
      <c r="U18" s="120" t="str">
        <f t="shared" si="3"/>
        <v>KLM-090075-00-10</v>
      </c>
      <c r="V18" s="120" t="str">
        <f t="shared" si="3"/>
        <v>KLM-122075-00-10</v>
      </c>
      <c r="W18" s="120" t="str">
        <f t="shared" si="3"/>
        <v>KLM-150075-00-10</v>
      </c>
      <c r="X18" s="131" t="str">
        <f t="shared" si="3"/>
        <v>KLM-182075-00-10</v>
      </c>
      <c r="Y18" s="119" t="str">
        <f t="shared" si="4"/>
        <v>KLM-070075-00M10</v>
      </c>
      <c r="Z18" s="120" t="str">
        <f t="shared" si="4"/>
        <v>KLM-090075-00M10</v>
      </c>
      <c r="AA18" s="120" t="str">
        <f t="shared" si="4"/>
        <v>KLM-122075-00M10</v>
      </c>
      <c r="AB18" s="120" t="str">
        <f t="shared" si="4"/>
        <v>KLM-150075-00M10</v>
      </c>
      <c r="AC18" s="131" t="str">
        <f t="shared" si="4"/>
        <v>KLM-182075-00M10</v>
      </c>
      <c r="AD18" s="94">
        <v>750</v>
      </c>
    </row>
    <row r="19" spans="1:30" ht="13.5" customHeight="1" thickBot="1" x14ac:dyDescent="0.3">
      <c r="A19" s="158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158"/>
      <c r="P19" s="158"/>
      <c r="Q19" s="158"/>
      <c r="R19" s="158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</row>
    <row r="20" spans="1:30" ht="13.5" customHeight="1" thickBot="1" x14ac:dyDescent="0.3">
      <c r="A20" s="158"/>
      <c r="C20" s="34"/>
      <c r="D20" s="35" t="s">
        <v>16</v>
      </c>
      <c r="E20" s="36"/>
      <c r="F20" s="36"/>
      <c r="G20" s="36"/>
      <c r="H20" s="36"/>
      <c r="I20" s="35" t="s">
        <v>17</v>
      </c>
      <c r="J20" s="36"/>
      <c r="K20" s="36"/>
      <c r="L20" s="36"/>
      <c r="M20" s="37"/>
      <c r="N20" s="34"/>
      <c r="O20" s="158"/>
      <c r="P20" s="158"/>
      <c r="Q20" s="158"/>
      <c r="R20" s="158"/>
      <c r="S20" s="34"/>
      <c r="T20" s="60" t="s">
        <v>16</v>
      </c>
      <c r="U20" s="61"/>
      <c r="V20" s="61"/>
      <c r="W20" s="61"/>
      <c r="X20" s="61"/>
      <c r="Y20" s="60" t="s">
        <v>17</v>
      </c>
      <c r="Z20" s="61"/>
      <c r="AA20" s="61"/>
      <c r="AB20" s="61"/>
      <c r="AC20" s="62"/>
      <c r="AD20" s="34"/>
    </row>
    <row r="21" spans="1:30" ht="13.5" customHeight="1" x14ac:dyDescent="0.25">
      <c r="A21" s="158"/>
      <c r="C21" s="7" t="str">
        <f>logic!$L$4</f>
        <v>Длина</v>
      </c>
      <c r="D21" s="38" t="str">
        <f>logic!$K$4&amp;" H ["&amp;logic!$O$64&amp;"]"</f>
        <v>Высота H [mm]</v>
      </c>
      <c r="E21" s="39"/>
      <c r="F21" s="39"/>
      <c r="G21" s="39"/>
      <c r="H21" s="40"/>
      <c r="I21" s="38" t="str">
        <f>logic!$K$4&amp;" H ["&amp;logic!$O$64&amp;"]"</f>
        <v>Высота H [mm]</v>
      </c>
      <c r="J21" s="39"/>
      <c r="K21" s="39"/>
      <c r="L21" s="39"/>
      <c r="M21" s="40"/>
      <c r="N21" s="7" t="str">
        <f>logic!$L$4</f>
        <v>Длина</v>
      </c>
      <c r="O21" s="158"/>
      <c r="P21" s="158"/>
      <c r="Q21" s="158"/>
      <c r="R21" s="158"/>
      <c r="S21" s="7" t="str">
        <f>logic!$L$4</f>
        <v>Длина</v>
      </c>
      <c r="T21" s="63" t="str">
        <f>logic!$K$4&amp;" H [mm]"</f>
        <v>Высота H [mm]</v>
      </c>
      <c r="U21" s="64"/>
      <c r="V21" s="64"/>
      <c r="W21" s="64"/>
      <c r="X21" s="65"/>
      <c r="Y21" s="63" t="str">
        <f>logic!$K$4&amp;" H [mm]"</f>
        <v>Высота H [mm]</v>
      </c>
      <c r="Z21" s="64"/>
      <c r="AA21" s="64"/>
      <c r="AB21" s="64"/>
      <c r="AC21" s="65"/>
      <c r="AD21" s="7" t="str">
        <f>logic!$L$4</f>
        <v>Длина</v>
      </c>
    </row>
    <row r="22" spans="1:30" ht="13.5" customHeight="1" thickBot="1" x14ac:dyDescent="0.3">
      <c r="A22" s="158"/>
      <c r="C22" s="8" t="str">
        <f>"L ["&amp;logic!$O$64&amp;"]"</f>
        <v>L [mm]</v>
      </c>
      <c r="D22" s="15">
        <f>IF(logic!$K$64=2,výkony!C23/logic!$M$64,výkony!C23)</f>
        <v>700</v>
      </c>
      <c r="E22" s="16">
        <f>IF(logic!$K$64=2,výkony!D23/logic!$M$64,výkony!D23)</f>
        <v>900</v>
      </c>
      <c r="F22" s="16">
        <f>IF(logic!$K$64=2,výkony!E23/logic!$M$64,výkony!E23)</f>
        <v>1220</v>
      </c>
      <c r="G22" s="16">
        <f>IF(logic!$K$64=2,výkony!F23/logic!$M$64,výkony!F23)</f>
        <v>1500</v>
      </c>
      <c r="H22" s="17">
        <f>IF(logic!$K$64=2,výkony!G23/logic!$M$64,výkony!G23)</f>
        <v>1820</v>
      </c>
      <c r="I22" s="15">
        <f>IF(logic!$K$64=2,výkony!H23/logic!$M$64,výkony!H23)</f>
        <v>700</v>
      </c>
      <c r="J22" s="16">
        <f>IF(logic!$K$64=2,výkony!I23/logic!$M$64,výkony!I23)</f>
        <v>900</v>
      </c>
      <c r="K22" s="16">
        <f>IF(logic!$K$64=2,výkony!J23/logic!$M$64,výkony!J23)</f>
        <v>1220</v>
      </c>
      <c r="L22" s="16">
        <f>IF(logic!$K$64=2,výkony!K23/logic!$M$64,výkony!K23)</f>
        <v>1500</v>
      </c>
      <c r="M22" s="17">
        <f>IF(logic!$K$64=2,výkony!L23/logic!$M$64,výkony!L23)</f>
        <v>1820</v>
      </c>
      <c r="N22" s="8" t="str">
        <f>"L ["&amp;logic!$O$64&amp;"]"</f>
        <v>L [mm]</v>
      </c>
      <c r="O22" s="158"/>
      <c r="P22" s="158"/>
      <c r="Q22" s="158"/>
      <c r="R22" s="158"/>
      <c r="S22" s="8" t="s">
        <v>201</v>
      </c>
      <c r="T22" s="95">
        <v>700</v>
      </c>
      <c r="U22" s="96">
        <v>900</v>
      </c>
      <c r="V22" s="96">
        <v>1220</v>
      </c>
      <c r="W22" s="96">
        <v>1500</v>
      </c>
      <c r="X22" s="97">
        <v>1820</v>
      </c>
      <c r="Y22" s="95">
        <v>700</v>
      </c>
      <c r="Z22" s="96">
        <v>900</v>
      </c>
      <c r="AA22" s="96">
        <v>1220</v>
      </c>
      <c r="AB22" s="96">
        <v>1500</v>
      </c>
      <c r="AC22" s="97">
        <v>1820</v>
      </c>
      <c r="AD22" s="8" t="s">
        <v>201</v>
      </c>
    </row>
    <row r="23" spans="1:30" ht="13.5" customHeight="1" x14ac:dyDescent="0.25">
      <c r="A23" s="158"/>
      <c r="B23">
        <f>IF(AND($K$5=logic!$I$4,$M$5=logic!$I$4),1,IF(AND(C23&gt;=$K$5,C23&lt;=$M$5),1,0))</f>
        <v>1</v>
      </c>
      <c r="C23" s="223">
        <f>IF(logic!$K$64=2,výkony!B24/logic!$M$64,výkony!B24)</f>
        <v>450</v>
      </c>
      <c r="D23" s="12">
        <f>IF(OR(D$12=0,$B23=0),0,IF(výkony!$D$8&lt;0.7,IF(logic!$A$50=1,výkony!C24,výkony!P24),IF(logic!$A$50=1,výkony!AD24,výkony!AI24)))</f>
        <v>287</v>
      </c>
      <c r="E23" s="13">
        <f>IF(OR(E$12=0,$B23=0),0,IF(výkony!$D$8&lt;0.7,IF(logic!$A$50=1,výkony!D24,výkony!Q24),IF(logic!$A$50=1,výkony!AE24,výkony!AJ24)))</f>
        <v>369</v>
      </c>
      <c r="F23" s="13">
        <f>IF(OR(F$12=0,$B23=0),0,IF(výkony!$D$8&lt;0.7,IF(logic!$A$50=1,výkony!E24,výkony!R24),IF(logic!$A$50=1,výkony!AF24,výkony!AK24)))</f>
        <v>504</v>
      </c>
      <c r="G23" s="13">
        <f>IF(OR(G$12=0,$B23=0),0,IF(výkony!$D$8&lt;0.7,IF(logic!$A$50=1,výkony!F24,výkony!S24),IF(logic!$A$50=1,výkony!AG24,výkony!AL24)))</f>
        <v>626</v>
      </c>
      <c r="H23" s="14">
        <f>IF(OR(H$12=0,$B23=0),0,IF(výkony!$D$8&lt;0.7,IF(logic!$A$50=1,výkony!G24,výkony!T24),IF(logic!$A$50=1,výkony!AH24,výkony!AM24)))</f>
        <v>772</v>
      </c>
      <c r="I23" s="12">
        <f>IF(OR(I$12=0,$B23=0),0,IF(výkony!$D$8&lt;0.7,IF(logic!$A$50=1,výkony!H24,výkony!U24),IF(logic!$A$50=1,výkony!AI24,výkony!AN24)))</f>
        <v>287</v>
      </c>
      <c r="J23" s="13">
        <f>IF(OR(J$12=0,$B23=0),0,IF(výkony!$D$8&lt;0.7,IF(logic!$A$50=1,výkony!I24,výkony!V24),IF(logic!$A$50=1,výkony!AJ24,výkony!AO24)))</f>
        <v>369</v>
      </c>
      <c r="K23" s="13">
        <f>IF(OR(K$12=0,$B23=0),0,IF(výkony!$D$8&lt;0.7,IF(logic!$A$50=1,výkony!J24,výkony!W24),IF(logic!$A$50=1,výkony!AK24,výkony!AP24)))</f>
        <v>504</v>
      </c>
      <c r="L23" s="13">
        <f>IF(OR(L$12=0,$B23=0),0,IF(výkony!$D$8&lt;0.7,IF(logic!$A$50=1,výkony!K24,výkony!X24),IF(logic!$A$50=1,výkony!AL24,výkony!AQ24)))</f>
        <v>626</v>
      </c>
      <c r="M23" s="13">
        <f>IF(OR(M$12=0,$B23=0),0,IF(výkony!$D$8&lt;0.7,IF(logic!$A$50=1,výkony!L24,výkony!Y24),IF(logic!$A$50=1,výkony!AM24,výkony!AR24)))</f>
        <v>772</v>
      </c>
      <c r="N23" s="223">
        <f>C23</f>
        <v>450</v>
      </c>
      <c r="O23" s="158"/>
      <c r="P23" s="158"/>
      <c r="Q23" s="158"/>
      <c r="R23" s="158"/>
      <c r="S23" s="92">
        <v>450</v>
      </c>
      <c r="T23" s="110" t="str">
        <f>"KLT-"&amp;IF(LEN(T$22)=3,"0"&amp;T$22/10,T$22/10)&amp;"0"&amp;$S23/10&amp;"-00-10"</f>
        <v>KLT-070045-00-10</v>
      </c>
      <c r="U23" s="111" t="str">
        <f t="shared" ref="U23:X23" si="5">"KLT-"&amp;IF(LEN(U$22)=3,"0"&amp;U$22/10,U$22/10)&amp;"0"&amp;$S23/10&amp;"-00-10"</f>
        <v>KLT-090045-00-10</v>
      </c>
      <c r="V23" s="111" t="str">
        <f t="shared" si="5"/>
        <v>KLT-122045-00-10</v>
      </c>
      <c r="W23" s="111" t="str">
        <f t="shared" si="5"/>
        <v>KLT-150045-00-10</v>
      </c>
      <c r="X23" s="112" t="str">
        <f t="shared" si="5"/>
        <v>KLT-182045-00-10</v>
      </c>
      <c r="Y23" s="110" t="str">
        <f>"KLT-"&amp;IF(LEN(Y$22)=3,"0"&amp;Y$22/10,Y$22/10)&amp;"0"&amp;$S23/10&amp;"-00M10"</f>
        <v>KLT-070045-00M10</v>
      </c>
      <c r="Z23" s="111" t="str">
        <f t="shared" ref="Z23:AC23" si="6">"KLT-"&amp;IF(LEN(Z$22)=3,"0"&amp;Z$22/10,Z$22/10)&amp;"0"&amp;$S23/10&amp;"-00M10"</f>
        <v>KLT-090045-00M10</v>
      </c>
      <c r="AA23" s="111" t="str">
        <f t="shared" si="6"/>
        <v>KLT-122045-00M10</v>
      </c>
      <c r="AB23" s="111" t="str">
        <f t="shared" si="6"/>
        <v>KLT-150045-00M10</v>
      </c>
      <c r="AC23" s="112" t="str">
        <f t="shared" si="6"/>
        <v>KLT-182045-00M10</v>
      </c>
      <c r="AD23" s="92">
        <v>450</v>
      </c>
    </row>
    <row r="24" spans="1:30" ht="13.5" customHeight="1" x14ac:dyDescent="0.25">
      <c r="A24" s="158"/>
      <c r="B24">
        <f>IF(AND($K$5=logic!$I$4,$M$5=logic!$I$4),1,IF(AND(C24&gt;=$K$5,C24&lt;=$M$5),1,0))</f>
        <v>1</v>
      </c>
      <c r="C24" s="227">
        <f>IF(logic!$K$64=2,výkony!B25/logic!$M$64,výkony!B25)</f>
        <v>500</v>
      </c>
      <c r="D24" s="12">
        <f>IF(OR(D$12=0,$B24=0),0,IF(výkony!$D$8&lt;0.7,IF(logic!$A$50=1,výkony!C25,výkony!P25),IF(logic!$A$50=1,výkony!AD25,výkony!AI25)))</f>
        <v>315</v>
      </c>
      <c r="E24" s="13">
        <f>IF(OR(E$12=0,$B24=0),0,IF(výkony!$D$8&lt;0.7,IF(logic!$A$50=1,výkony!D25,výkony!Q25),IF(logic!$A$50=1,výkony!AE25,výkony!AJ25)))</f>
        <v>405</v>
      </c>
      <c r="F24" s="13">
        <f>IF(OR(F$12=0,$B24=0),0,IF(výkony!$D$8&lt;0.7,IF(logic!$A$50=1,výkony!E25,výkony!R25),IF(logic!$A$50=1,výkony!AF25,výkony!AK25)))</f>
        <v>553</v>
      </c>
      <c r="G24" s="13">
        <f>IF(OR(G$12=0,$B24=0),0,IF(výkony!$D$8&lt;0.7,IF(logic!$A$50=1,výkony!F25,výkony!S25),IF(logic!$A$50=1,výkony!AG25,výkony!AL25)))</f>
        <v>687</v>
      </c>
      <c r="H24" s="14">
        <f>IF(OR(H$12=0,$B24=0),0,IF(výkony!$D$8&lt;0.7,IF(logic!$A$50=1,výkony!G25,výkony!T25),IF(logic!$A$50=1,výkony!AH25,výkony!AM25)))</f>
        <v>848</v>
      </c>
      <c r="I24" s="12">
        <f>IF(OR(I$12=0,$B24=0),0,IF(výkony!$D$8&lt;0.7,IF(logic!$A$50=1,výkony!H25,výkony!U25),IF(logic!$A$50=1,výkony!AI25,výkony!AN25)))</f>
        <v>315</v>
      </c>
      <c r="J24" s="13">
        <f>IF(OR(J$12=0,$B24=0),0,IF(výkony!$D$8&lt;0.7,IF(logic!$A$50=1,výkony!I25,výkony!V25),IF(logic!$A$50=1,výkony!AJ25,výkony!AO25)))</f>
        <v>405</v>
      </c>
      <c r="K24" s="13">
        <f>IF(OR(K$12=0,$B24=0),0,IF(výkony!$D$8&lt;0.7,IF(logic!$A$50=1,výkony!J25,výkony!W25),IF(logic!$A$50=1,výkony!AK25,výkony!AP25)))</f>
        <v>553</v>
      </c>
      <c r="L24" s="13">
        <f>IF(OR(L$12=0,$B24=0),0,IF(výkony!$D$8&lt;0.7,IF(logic!$A$50=1,výkony!K25,výkony!X25),IF(logic!$A$50=1,výkony!AL25,výkony!AQ25)))</f>
        <v>687</v>
      </c>
      <c r="M24" s="208">
        <f>IF(OR(M$12=0,$B24=0),0,IF(výkony!$D$8&lt;0.7,IF(logic!$A$50=1,výkony!L25,výkony!Y25),IF(logic!$A$50=1,výkony!AM25,výkony!AR25)))</f>
        <v>848</v>
      </c>
      <c r="N24" s="227">
        <f t="shared" ref="N24:N26" si="7">C24</f>
        <v>500</v>
      </c>
      <c r="O24" s="158"/>
      <c r="P24" s="226"/>
      <c r="Q24" s="158"/>
      <c r="R24" s="158"/>
      <c r="S24" s="209">
        <v>500</v>
      </c>
      <c r="T24" s="110" t="str">
        <f t="shared" ref="T24:X26" si="8">"KLT-"&amp;IF(LEN(T$22)=3,"0"&amp;T$22/10,T$22/10)&amp;"0"&amp;$S24/10&amp;"-00-10"</f>
        <v>KLT-070050-00-10</v>
      </c>
      <c r="U24" s="111" t="str">
        <f t="shared" si="8"/>
        <v>KLT-090050-00-10</v>
      </c>
      <c r="V24" s="111" t="str">
        <f t="shared" si="8"/>
        <v>KLT-122050-00-10</v>
      </c>
      <c r="W24" s="111" t="str">
        <f t="shared" si="8"/>
        <v>KLT-150050-00-10</v>
      </c>
      <c r="X24" s="112" t="str">
        <f t="shared" si="8"/>
        <v>KLT-182050-00-10</v>
      </c>
      <c r="Y24" s="110" t="str">
        <f t="shared" ref="Y24:AC26" si="9">"KLT-"&amp;IF(LEN(Y$22)=3,"0"&amp;Y$22/10,Y$22/10)&amp;"0"&amp;$S24/10&amp;"-00M10"</f>
        <v>KLT-070050-00M10</v>
      </c>
      <c r="Z24" s="111" t="str">
        <f t="shared" si="9"/>
        <v>KLT-090050-00M10</v>
      </c>
      <c r="AA24" s="111" t="str">
        <f t="shared" si="9"/>
        <v>KLT-122050-00M10</v>
      </c>
      <c r="AB24" s="111" t="str">
        <f t="shared" si="9"/>
        <v>KLT-150050-00M10</v>
      </c>
      <c r="AC24" s="112" t="str">
        <f t="shared" si="9"/>
        <v>KLT-182050-00M10</v>
      </c>
      <c r="AD24" s="209">
        <v>500</v>
      </c>
    </row>
    <row r="25" spans="1:30" ht="13.5" customHeight="1" x14ac:dyDescent="0.25">
      <c r="A25" s="158"/>
      <c r="B25">
        <f>IF(AND($K$5=logic!$I$4,$M$5=logic!$I$4),1,IF(AND(C25&gt;=$K$5,C25&lt;=$M$5),1,0))</f>
        <v>1</v>
      </c>
      <c r="C25" s="224">
        <f>IF(logic!$K$64=2,výkony!B26/logic!$M$64,výkony!B26)</f>
        <v>600</v>
      </c>
      <c r="D25" s="2">
        <f>IF(OR(D$12=0,$B25=0),0,IF(výkony!$D$8&lt;0.7,IF(logic!$A$50=1,výkony!C26,výkony!P26),IF(logic!$A$50=1,výkony!AD26,výkony!AI26)))</f>
        <v>370</v>
      </c>
      <c r="E25" s="1">
        <f>IF(OR(E$12=0,$B25=0),0,IF(výkony!$D$8&lt;0.7,IF(logic!$A$50=1,výkony!D26,výkony!Q26),IF(logic!$A$50=1,výkony!AE26,výkony!AJ26)))</f>
        <v>475</v>
      </c>
      <c r="F25" s="1">
        <f>IF(OR(F$12=0,$B25=0),0,IF(výkony!$D$8&lt;0.7,IF(logic!$A$50=1,výkony!E26,výkony!R26),IF(logic!$A$50=1,výkony!AF26,výkony!AK26)))</f>
        <v>650</v>
      </c>
      <c r="G25" s="1">
        <f>IF(OR(G$12=0,$B25=0),0,IF(výkony!$D$8&lt;0.7,IF(logic!$A$50=1,výkony!F26,výkony!S26),IF(logic!$A$50=1,výkony!AG26,výkony!AL26)))</f>
        <v>808</v>
      </c>
      <c r="H25" s="3">
        <f>IF(OR(H$12=0,$B25=0),0,IF(výkony!$D$8&lt;0.7,IF(logic!$A$50=1,výkony!G26,výkony!T26),IF(logic!$A$50=1,výkony!AH26,výkony!AM26)))</f>
        <v>996</v>
      </c>
      <c r="I25" s="2">
        <f>IF(OR(I$12=0,$B25=0),0,IF(výkony!$D$8&lt;0.7,IF(logic!$A$50=1,výkony!H26,výkony!U26),IF(logic!$A$50=1,výkony!AI26,výkony!AN26)))</f>
        <v>370</v>
      </c>
      <c r="J25" s="1">
        <f>IF(OR(J$12=0,$B25=0),0,IF(výkony!$D$8&lt;0.7,IF(logic!$A$50=1,výkony!I26,výkony!V26),IF(logic!$A$50=1,výkony!AJ26,výkony!AO26)))</f>
        <v>475</v>
      </c>
      <c r="K25" s="1">
        <f>IF(OR(K$12=0,$B25=0),0,IF(výkony!$D$8&lt;0.7,IF(logic!$A$50=1,výkony!J26,výkony!W26),IF(logic!$A$50=1,výkony!AK26,výkony!AP26)))</f>
        <v>650</v>
      </c>
      <c r="L25" s="1">
        <f>IF(OR(L$12=0,$B25=0),0,IF(výkony!$D$8&lt;0.7,IF(logic!$A$50=1,výkony!K26,výkony!X26),IF(logic!$A$50=1,výkony!AL26,výkony!AQ26)))</f>
        <v>808</v>
      </c>
      <c r="M25" s="3">
        <f>IF(OR(M$12=0,$B25=0),0,IF(výkony!$D$8&lt;0.7,IF(logic!$A$50=1,výkony!L26,výkony!Y26),IF(logic!$A$50=1,výkony!AM26,výkony!AR26)))</f>
        <v>996</v>
      </c>
      <c r="N25" s="224">
        <f t="shared" si="7"/>
        <v>600</v>
      </c>
      <c r="O25" s="158"/>
      <c r="P25" s="158"/>
      <c r="Q25" s="158"/>
      <c r="R25" s="158"/>
      <c r="S25" s="93">
        <v>600</v>
      </c>
      <c r="T25" s="104" t="str">
        <f t="shared" si="8"/>
        <v>KLT-070060-00-10</v>
      </c>
      <c r="U25" s="105" t="str">
        <f t="shared" si="8"/>
        <v>KLT-090060-00-10</v>
      </c>
      <c r="V25" s="105" t="str">
        <f t="shared" si="8"/>
        <v>KLT-122060-00-10</v>
      </c>
      <c r="W25" s="105" t="str">
        <f t="shared" si="8"/>
        <v>KLT-150060-00-10</v>
      </c>
      <c r="X25" s="106" t="str">
        <f t="shared" si="8"/>
        <v>KLT-182060-00-10</v>
      </c>
      <c r="Y25" s="104" t="str">
        <f t="shared" si="9"/>
        <v>KLT-070060-00M10</v>
      </c>
      <c r="Z25" s="105" t="str">
        <f t="shared" si="9"/>
        <v>KLT-090060-00M10</v>
      </c>
      <c r="AA25" s="105" t="str">
        <f t="shared" si="9"/>
        <v>KLT-122060-00M10</v>
      </c>
      <c r="AB25" s="105" t="str">
        <f t="shared" si="9"/>
        <v>KLT-150060-00M10</v>
      </c>
      <c r="AC25" s="106" t="str">
        <f t="shared" si="9"/>
        <v>KLT-182060-00M10</v>
      </c>
      <c r="AD25" s="93">
        <v>600</v>
      </c>
    </row>
    <row r="26" spans="1:30" ht="13.5" customHeight="1" thickBot="1" x14ac:dyDescent="0.3">
      <c r="A26" s="158"/>
      <c r="B26">
        <f>IF(AND($K$5=logic!$I$4,$M$5=logic!$I$4),1,IF(AND(C26&gt;=$K$5,C26&lt;=$M$5),1,0))</f>
        <v>1</v>
      </c>
      <c r="C26" s="225">
        <f>IF(logic!$K$64=2,výkony!B27/logic!$M$64,výkony!B27)</f>
        <v>750</v>
      </c>
      <c r="D26" s="4">
        <f>IF(OR(D$12=0,$B26=0),0,IF(výkony!$D$8&lt;0.7,IF(logic!$A$50=1,výkony!C27,výkony!P27),IF(logic!$A$50=1,výkony!AD27,výkony!AI27)))</f>
        <v>450</v>
      </c>
      <c r="E26" s="5">
        <f>IF(OR(E$12=0,$B26=0),0,IF(výkony!$D$8&lt;0.7,IF(logic!$A$50=1,výkony!D27,výkony!Q27),IF(logic!$A$50=1,výkony!AE27,výkony!AJ27)))</f>
        <v>579</v>
      </c>
      <c r="F26" s="5">
        <f>IF(OR(F$12=0,$B26=0),0,IF(výkony!$D$8&lt;0.7,IF(logic!$A$50=1,výkony!E27,výkony!R27),IF(logic!$A$50=1,výkony!AF27,výkony!AK27)))</f>
        <v>791</v>
      </c>
      <c r="G26" s="5">
        <f>IF(OR(G$12=0,$B26=0),0,IF(výkony!$D$8&lt;0.7,IF(logic!$A$50=1,výkony!F27,výkony!S27),IF(logic!$A$50=1,výkony!AG27,výkony!AL27)))</f>
        <v>984</v>
      </c>
      <c r="H26" s="6">
        <f>IF(OR(H$12=0,$B26=0),0,IF(výkony!$D$8&lt;0.7,IF(logic!$A$50=1,výkony!G27,výkony!T27),IF(logic!$A$50=1,výkony!AH27,výkony!AM27)))</f>
        <v>1213</v>
      </c>
      <c r="I26" s="4">
        <f>IF(OR(I$12=0,$B26=0),0,IF(výkony!$D$8&lt;0.7,IF(logic!$A$50=1,výkony!H27,výkony!U27),IF(logic!$A$50=1,výkony!AI27,výkony!AN27)))</f>
        <v>450</v>
      </c>
      <c r="J26" s="5">
        <f>IF(OR(J$12=0,$B26=0),0,IF(výkony!$D$8&lt;0.7,IF(logic!$A$50=1,výkony!I27,výkony!V27),IF(logic!$A$50=1,výkony!AJ27,výkony!AO27)))</f>
        <v>579</v>
      </c>
      <c r="K26" s="5">
        <f>IF(OR(K$12=0,$B26=0),0,IF(výkony!$D$8&lt;0.7,IF(logic!$A$50=1,výkony!J27,výkony!W27),IF(logic!$A$50=1,výkony!AK27,výkony!AP27)))</f>
        <v>791</v>
      </c>
      <c r="L26" s="5">
        <f>IF(OR(L$12=0,$B26=0),0,IF(výkony!$D$8&lt;0.7,IF(logic!$A$50=1,výkony!K27,výkony!X27),IF(logic!$A$50=1,výkony!AL27,výkony!AQ27)))</f>
        <v>984</v>
      </c>
      <c r="M26" s="6">
        <f>IF(OR(M$12=0,$B26=0),0,IF(výkony!$D$8&lt;0.7,IF(logic!$A$50=1,výkony!L27,výkony!Y27),IF(logic!$A$50=1,výkony!AM27,výkony!AR27)))</f>
        <v>1213</v>
      </c>
      <c r="N26" s="225">
        <f t="shared" si="7"/>
        <v>750</v>
      </c>
      <c r="O26" s="158"/>
      <c r="P26" s="158"/>
      <c r="Q26" s="158"/>
      <c r="R26" s="158"/>
      <c r="S26" s="94">
        <v>750</v>
      </c>
      <c r="T26" s="107" t="str">
        <f t="shared" si="8"/>
        <v>KLT-070075-00-10</v>
      </c>
      <c r="U26" s="108" t="str">
        <f t="shared" si="8"/>
        <v>KLT-090075-00-10</v>
      </c>
      <c r="V26" s="108" t="str">
        <f t="shared" si="8"/>
        <v>KLT-122075-00-10</v>
      </c>
      <c r="W26" s="108" t="str">
        <f t="shared" si="8"/>
        <v>KLT-150075-00-10</v>
      </c>
      <c r="X26" s="109" t="str">
        <f t="shared" si="8"/>
        <v>KLT-182075-00-10</v>
      </c>
      <c r="Y26" s="107" t="str">
        <f t="shared" si="9"/>
        <v>KLT-070075-00M10</v>
      </c>
      <c r="Z26" s="108" t="str">
        <f t="shared" si="9"/>
        <v>KLT-090075-00M10</v>
      </c>
      <c r="AA26" s="108" t="str">
        <f t="shared" si="9"/>
        <v>KLT-122075-00M10</v>
      </c>
      <c r="AB26" s="108" t="str">
        <f t="shared" si="9"/>
        <v>KLT-150075-00M10</v>
      </c>
      <c r="AC26" s="109" t="str">
        <f t="shared" si="9"/>
        <v>KLT-182075-00M10</v>
      </c>
      <c r="AD26" s="94">
        <v>750</v>
      </c>
    </row>
    <row r="27" spans="1:30" ht="13.5" customHeight="1" thickBot="1" x14ac:dyDescent="0.3">
      <c r="A27" s="158"/>
      <c r="D27" s="177"/>
      <c r="E27" s="177"/>
      <c r="F27" s="177"/>
      <c r="G27" s="177"/>
      <c r="H27" s="177"/>
      <c r="I27" s="177"/>
      <c r="J27" s="177"/>
      <c r="K27" s="177"/>
      <c r="L27" s="177"/>
      <c r="M27" s="177"/>
      <c r="O27" s="158"/>
      <c r="P27" s="158"/>
      <c r="Q27" s="158"/>
      <c r="R27" s="158"/>
    </row>
    <row r="28" spans="1:30" ht="13.5" customHeight="1" thickBot="1" x14ac:dyDescent="0.3">
      <c r="A28" s="158"/>
      <c r="C28" s="34"/>
      <c r="D28" s="35" t="s">
        <v>12</v>
      </c>
      <c r="E28" s="36"/>
      <c r="F28" s="36"/>
      <c r="G28" s="36"/>
      <c r="H28" s="36"/>
      <c r="I28" s="35" t="s">
        <v>13</v>
      </c>
      <c r="J28" s="36"/>
      <c r="K28" s="36"/>
      <c r="L28" s="36"/>
      <c r="M28" s="37"/>
      <c r="N28" s="34"/>
      <c r="O28" s="158"/>
      <c r="P28" s="158"/>
      <c r="Q28" s="158"/>
      <c r="R28" s="158"/>
      <c r="S28" s="34"/>
      <c r="T28" s="60" t="s">
        <v>12</v>
      </c>
      <c r="U28" s="61"/>
      <c r="V28" s="61"/>
      <c r="W28" s="61"/>
      <c r="X28" s="61"/>
      <c r="Y28" s="60" t="s">
        <v>13</v>
      </c>
      <c r="Z28" s="61"/>
      <c r="AA28" s="61"/>
      <c r="AB28" s="61"/>
      <c r="AC28" s="62"/>
      <c r="AD28" s="34"/>
    </row>
    <row r="29" spans="1:30" ht="13.5" customHeight="1" x14ac:dyDescent="0.25">
      <c r="A29" s="158"/>
      <c r="C29" s="7" t="str">
        <f>logic!$L$4</f>
        <v>Длина</v>
      </c>
      <c r="D29" s="38" t="str">
        <f>logic!$K$4&amp;" H ["&amp;logic!$O$64&amp;"]"</f>
        <v>Высота H [mm]</v>
      </c>
      <c r="E29" s="39"/>
      <c r="F29" s="39"/>
      <c r="G29" s="39"/>
      <c r="H29" s="40"/>
      <c r="I29" s="38" t="str">
        <f>logic!$K$4&amp;" H ["&amp;logic!$O$64&amp;"]"</f>
        <v>Высота H [mm]</v>
      </c>
      <c r="J29" s="39"/>
      <c r="K29" s="39"/>
      <c r="L29" s="39"/>
      <c r="M29" s="40"/>
      <c r="N29" s="7" t="str">
        <f>logic!$L$4</f>
        <v>Длина</v>
      </c>
      <c r="O29" s="158"/>
      <c r="P29" s="158"/>
      <c r="Q29" s="158"/>
      <c r="R29" s="158"/>
      <c r="S29" s="7" t="str">
        <f>logic!$L$4</f>
        <v>Длина</v>
      </c>
      <c r="T29" s="63" t="str">
        <f>logic!$K$4&amp;" H [mm]"</f>
        <v>Высота H [mm]</v>
      </c>
      <c r="U29" s="64"/>
      <c r="V29" s="64"/>
      <c r="W29" s="64"/>
      <c r="X29" s="65"/>
      <c r="Y29" s="63" t="str">
        <f>logic!$K$4&amp;" H [mm]"</f>
        <v>Высота H [mm]</v>
      </c>
      <c r="Z29" s="64"/>
      <c r="AA29" s="64"/>
      <c r="AB29" s="64"/>
      <c r="AC29" s="65"/>
      <c r="AD29" s="7" t="str">
        <f>logic!$L$4</f>
        <v>Длина</v>
      </c>
    </row>
    <row r="30" spans="1:30" ht="13.5" customHeight="1" thickBot="1" x14ac:dyDescent="0.3">
      <c r="A30" s="158"/>
      <c r="C30" s="8" t="str">
        <f>"L ["&amp;logic!$O$64&amp;"]"</f>
        <v>L [mm]</v>
      </c>
      <c r="D30" s="15">
        <f>IF(logic!$K$64=2,výkony!C31/logic!$M$64,výkony!C31)</f>
        <v>700</v>
      </c>
      <c r="E30" s="16">
        <f>IF(logic!$K$64=2,výkony!D31/logic!$M$64,výkony!D31)</f>
        <v>900</v>
      </c>
      <c r="F30" s="16">
        <f>IF(logic!$K$64=2,výkony!E31/logic!$M$64,výkony!E31)</f>
        <v>1220</v>
      </c>
      <c r="G30" s="16">
        <f>IF(logic!$K$64=2,výkony!F31/logic!$M$64,výkony!F31)</f>
        <v>1500</v>
      </c>
      <c r="H30" s="17">
        <f>IF(logic!$K$64=2,výkony!G31/logic!$M$64,výkony!G31)</f>
        <v>1820</v>
      </c>
      <c r="I30" s="15">
        <f>IF(logic!$K$64=2,výkony!H31/logic!$M$64,výkony!H31)</f>
        <v>700</v>
      </c>
      <c r="J30" s="16">
        <f>IF(logic!$K$64=2,výkony!I31/logic!$M$64,výkony!I31)</f>
        <v>900</v>
      </c>
      <c r="K30" s="16">
        <f>IF(logic!$K$64=2,výkony!J31/logic!$M$64,výkony!J31)</f>
        <v>1220</v>
      </c>
      <c r="L30" s="16">
        <f>IF(logic!$K$64=2,výkony!K31/logic!$M$64,výkony!K31)</f>
        <v>1500</v>
      </c>
      <c r="M30" s="17">
        <f>IF(logic!$K$64=2,výkony!L31/logic!$M$64,výkony!L31)</f>
        <v>1820</v>
      </c>
      <c r="N30" s="8" t="str">
        <f>"L ["&amp;logic!$O$64&amp;"]"</f>
        <v>L [mm]</v>
      </c>
      <c r="O30" s="158"/>
      <c r="P30" s="158"/>
      <c r="Q30" s="158"/>
      <c r="R30" s="158"/>
      <c r="S30" s="8" t="s">
        <v>201</v>
      </c>
      <c r="T30" s="95">
        <v>700</v>
      </c>
      <c r="U30" s="96">
        <v>900</v>
      </c>
      <c r="V30" s="96">
        <v>1220</v>
      </c>
      <c r="W30" s="96">
        <v>1500</v>
      </c>
      <c r="X30" s="97">
        <v>1820</v>
      </c>
      <c r="Y30" s="95">
        <v>700</v>
      </c>
      <c r="Z30" s="96">
        <v>900</v>
      </c>
      <c r="AA30" s="96">
        <v>1220</v>
      </c>
      <c r="AB30" s="96">
        <v>1500</v>
      </c>
      <c r="AC30" s="97">
        <v>1820</v>
      </c>
      <c r="AD30" s="8" t="s">
        <v>201</v>
      </c>
    </row>
    <row r="31" spans="1:30" ht="13.5" customHeight="1" x14ac:dyDescent="0.25">
      <c r="A31" s="158"/>
      <c r="B31">
        <f>IF(AND($K$5=logic!$I$4,$M$5=logic!$I$4),1,IF(AND(C31&gt;=$K$5,C31&lt;=$M$5),1,0))</f>
        <v>1</v>
      </c>
      <c r="C31" s="223">
        <f>IF(logic!$K$64=2,výkony!B32/logic!$M$64,výkony!B32)</f>
        <v>450</v>
      </c>
      <c r="D31" s="12">
        <f>IF(OR(D$12=0,$B31=0),0,IF(výkony!$D$8&lt;0.7,IF(logic!$A$50=1,výkony!C32,výkony!P32),IF(logic!$A$50=1,výkony!AD32,výkony!AI32)))</f>
        <v>255</v>
      </c>
      <c r="E31" s="13">
        <f>IF(OR(E$12=0,$B31=0),0,IF(výkony!$D$8&lt;0.7,IF(logic!$A$50=1,výkony!D32,výkony!Q32),IF(logic!$A$50=1,výkony!AE32,výkony!AJ32)))</f>
        <v>333</v>
      </c>
      <c r="F31" s="13">
        <f>IF(OR(F$12=0,$B31=0),0,IF(výkony!$D$8&lt;0.7,IF(logic!$A$50=1,výkony!E32,výkony!R32),IF(logic!$A$50=1,výkony!AF32,výkony!AK32)))</f>
        <v>462</v>
      </c>
      <c r="G31" s="13">
        <f>IF(OR(G$12=0,$B31=0),0,IF(výkony!$D$8&lt;0.7,IF(logic!$A$50=1,výkony!F32,výkony!S32),IF(logic!$A$50=1,výkony!AG32,výkony!AL32)))</f>
        <v>581</v>
      </c>
      <c r="H31" s="14">
        <f>IF(OR(H$12=0,$B31=0),0,IF(výkony!$D$8&lt;0.7,IF(logic!$A$50=1,výkony!G32,výkony!T32),IF(logic!$A$50=1,výkony!AH32,výkony!AM32)))</f>
        <v>725</v>
      </c>
      <c r="I31" s="12">
        <f>IF(OR(I$12=0,$B31=0),0,IF(výkony!$D$8&lt;0.7,IF(logic!$A$50=1,výkony!H32,výkony!U32),IF(logic!$A$50=1,výkony!AI32,výkony!AN32)))</f>
        <v>255</v>
      </c>
      <c r="J31" s="13">
        <f>IF(OR(J$12=0,$B31=0),0,IF(výkony!$D$8&lt;0.7,IF(logic!$A$50=1,výkony!I32,výkony!V32),IF(logic!$A$50=1,výkony!AJ32,výkony!AO32)))</f>
        <v>333</v>
      </c>
      <c r="K31" s="13">
        <f>IF(OR(K$12=0,$B31=0),0,IF(výkony!$D$8&lt;0.7,IF(logic!$A$50=1,výkony!J32,výkony!W32),IF(logic!$A$50=1,výkony!AK32,výkony!AP32)))</f>
        <v>462</v>
      </c>
      <c r="L31" s="13">
        <f>IF(OR(L$12=0,$B31=0),0,IF(výkony!$D$8&lt;0.7,IF(logic!$A$50=1,výkony!K32,výkony!X32),IF(logic!$A$50=1,výkony!AL32,výkony!AQ32)))</f>
        <v>581</v>
      </c>
      <c r="M31" s="14">
        <f>IF(OR(M$12=0,$B31=0),0,IF(výkony!$D$8&lt;0.7,IF(logic!$A$50=1,výkony!L32,výkony!Y32),IF(logic!$A$50=1,výkony!AM32,výkony!AR32)))</f>
        <v>725</v>
      </c>
      <c r="N31" s="223">
        <f>C31</f>
        <v>450</v>
      </c>
      <c r="O31" s="158"/>
      <c r="P31" s="158"/>
      <c r="Q31" s="158"/>
      <c r="R31" s="158"/>
      <c r="S31" s="92">
        <v>450</v>
      </c>
      <c r="T31" s="110" t="str">
        <f>"KLC-"&amp;IF(LEN(T$30)=3,"0"&amp;T$30/10,T$30/10)&amp;"0"&amp;$S31/10&amp;"-00-10"</f>
        <v>KLC-070045-00-10</v>
      </c>
      <c r="U31" s="111" t="str">
        <f t="shared" ref="U31:X31" si="10">"KLC-"&amp;IF(LEN(U$30)=3,"0"&amp;U$30/10,U$30/10)&amp;"0"&amp;$S31/10&amp;"-00-10"</f>
        <v>KLC-090045-00-10</v>
      </c>
      <c r="V31" s="111" t="str">
        <f t="shared" si="10"/>
        <v>KLC-122045-00-10</v>
      </c>
      <c r="W31" s="111" t="str">
        <f t="shared" si="10"/>
        <v>KLC-150045-00-10</v>
      </c>
      <c r="X31" s="112" t="str">
        <f t="shared" si="10"/>
        <v>KLC-182045-00-10</v>
      </c>
      <c r="Y31" s="110" t="str">
        <f>"KLC-"&amp;IF(LEN(Y$30)=3,"0"&amp;Y$30/10,Y$30/10)&amp;"0"&amp;$S31/10&amp;"-00M10"</f>
        <v>KLC-070045-00M10</v>
      </c>
      <c r="Z31" s="111" t="str">
        <f t="shared" ref="Z31:AC31" si="11">"KLC-"&amp;IF(LEN(Z$30)=3,"0"&amp;Z$30/10,Z$30/10)&amp;"0"&amp;$S31/10&amp;"-00M10"</f>
        <v>KLC-090045-00M10</v>
      </c>
      <c r="AA31" s="111" t="str">
        <f t="shared" si="11"/>
        <v>KLC-122045-00M10</v>
      </c>
      <c r="AB31" s="111" t="str">
        <f t="shared" si="11"/>
        <v>KLC-150045-00M10</v>
      </c>
      <c r="AC31" s="112" t="str">
        <f t="shared" si="11"/>
        <v>KLC-182045-00M10</v>
      </c>
      <c r="AD31" s="92">
        <v>450</v>
      </c>
    </row>
    <row r="32" spans="1:30" ht="13.5" customHeight="1" x14ac:dyDescent="0.25">
      <c r="A32" s="158"/>
      <c r="B32">
        <f>IF(AND($K$5=logic!$I$4,$M$5=logic!$I$4),1,IF(AND(C32&gt;=$K$5,C32&lt;=$M$5),1,0))</f>
        <v>1</v>
      </c>
      <c r="C32" s="227">
        <f>IF(logic!$K$64=2,výkony!B33/logic!$M$64,výkony!B33)</f>
        <v>500</v>
      </c>
      <c r="D32" s="12">
        <f>IF(OR(D$12=0,$B32=0),0,IF(výkony!$D$8&lt;0.7,IF(logic!$A$50=1,výkony!C33,výkony!P33),IF(logic!$A$50=1,výkony!AD33,výkony!AI33)))</f>
        <v>280</v>
      </c>
      <c r="E32" s="13">
        <f>IF(OR(E$12=0,$B32=0),0,IF(výkony!$D$8&lt;0.7,IF(logic!$A$50=1,výkony!D33,výkony!Q33),IF(logic!$A$50=1,výkony!AE33,výkony!AJ33)))</f>
        <v>365</v>
      </c>
      <c r="F32" s="13">
        <f>IF(OR(F$12=0,$B32=0),0,IF(výkony!$D$8&lt;0.7,IF(logic!$A$50=1,výkony!E33,výkony!R33),IF(logic!$A$50=1,výkony!AF33,výkony!AK33)))</f>
        <v>507</v>
      </c>
      <c r="G32" s="13">
        <f>IF(OR(G$12=0,$B32=0),0,IF(výkony!$D$8&lt;0.7,IF(logic!$A$50=1,výkony!F33,výkony!S33),IF(logic!$A$50=1,výkony!AG33,výkony!AL33)))</f>
        <v>638</v>
      </c>
      <c r="H32" s="14">
        <f>IF(OR(H$12=0,$B32=0),0,IF(výkony!$D$8&lt;0.7,IF(logic!$A$50=1,výkony!G33,výkony!T33),IF(logic!$A$50=1,výkony!AH33,výkony!AM33)))</f>
        <v>795</v>
      </c>
      <c r="I32" s="12">
        <f>IF(OR(I$12=0,$B32=0),0,IF(výkony!$D$8&lt;0.7,IF(logic!$A$50=1,výkony!H33,výkony!U33),IF(logic!$A$50=1,výkony!AI33,výkony!AN33)))</f>
        <v>280</v>
      </c>
      <c r="J32" s="13">
        <f>IF(OR(J$12=0,$B32=0),0,IF(výkony!$D$8&lt;0.7,IF(logic!$A$50=1,výkony!I33,výkony!V33),IF(logic!$A$50=1,výkony!AJ33,výkony!AO33)))</f>
        <v>365</v>
      </c>
      <c r="K32" s="13">
        <f>IF(OR(K$12=0,$B32=0),0,IF(výkony!$D$8&lt;0.7,IF(logic!$A$50=1,výkony!J33,výkony!W33),IF(logic!$A$50=1,výkony!AK33,výkony!AP33)))</f>
        <v>507</v>
      </c>
      <c r="L32" s="13">
        <f>IF(OR(L$12=0,$B32=0),0,IF(výkony!$D$8&lt;0.7,IF(logic!$A$50=1,výkony!K33,výkony!X33),IF(logic!$A$50=1,výkony!AL33,výkony!AQ33)))</f>
        <v>638</v>
      </c>
      <c r="M32" s="14">
        <f>IF(OR(M$12=0,$B32=0),0,IF(výkony!$D$8&lt;0.7,IF(logic!$A$50=1,výkony!L33,výkony!Y33),IF(logic!$A$50=1,výkony!AM33,výkony!AR33)))</f>
        <v>795</v>
      </c>
      <c r="N32" s="227">
        <f t="shared" ref="N32:N34" si="12">C32</f>
        <v>500</v>
      </c>
      <c r="O32" s="158"/>
      <c r="P32" s="158"/>
      <c r="Q32" s="158"/>
      <c r="R32" s="158"/>
      <c r="S32" s="209">
        <v>500</v>
      </c>
      <c r="T32" s="110" t="str">
        <f t="shared" ref="T32:X34" si="13">"KLC-"&amp;IF(LEN(T$30)=3,"0"&amp;T$30/10,T$30/10)&amp;"0"&amp;$S32/10&amp;"-00-10"</f>
        <v>KLC-070050-00-10</v>
      </c>
      <c r="U32" s="111" t="str">
        <f t="shared" si="13"/>
        <v>KLC-090050-00-10</v>
      </c>
      <c r="V32" s="111" t="str">
        <f t="shared" si="13"/>
        <v>KLC-122050-00-10</v>
      </c>
      <c r="W32" s="111" t="str">
        <f t="shared" si="13"/>
        <v>KLC-150050-00-10</v>
      </c>
      <c r="X32" s="112" t="str">
        <f t="shared" si="13"/>
        <v>KLC-182050-00-10</v>
      </c>
      <c r="Y32" s="110" t="str">
        <f t="shared" ref="Y32:AC34" si="14">"KLC-"&amp;IF(LEN(Y$30)=3,"0"&amp;Y$30/10,Y$30/10)&amp;"0"&amp;$S32/10&amp;"-00M10"</f>
        <v>KLC-070050-00M10</v>
      </c>
      <c r="Z32" s="111" t="str">
        <f t="shared" si="14"/>
        <v>KLC-090050-00M10</v>
      </c>
      <c r="AA32" s="111" t="str">
        <f t="shared" si="14"/>
        <v>KLC-122050-00M10</v>
      </c>
      <c r="AB32" s="111" t="str">
        <f t="shared" si="14"/>
        <v>KLC-150050-00M10</v>
      </c>
      <c r="AC32" s="112" t="str">
        <f t="shared" si="14"/>
        <v>KLC-182050-00M10</v>
      </c>
      <c r="AD32" s="209">
        <v>500</v>
      </c>
    </row>
    <row r="33" spans="1:30" ht="13.5" customHeight="1" x14ac:dyDescent="0.25">
      <c r="A33" s="158"/>
      <c r="B33">
        <f>IF(AND($K$5=logic!$I$4,$M$5=logic!$I$4),1,IF(AND(C33&gt;=$K$5,C33&lt;=$M$5),1,0))</f>
        <v>1</v>
      </c>
      <c r="C33" s="224">
        <f>IF(logic!$K$64=2,výkony!B34/logic!$M$64,výkony!B34)</f>
        <v>600</v>
      </c>
      <c r="D33" s="2">
        <f>IF(OR(D$12=0,$B33=0),0,IF(výkony!$D$8&lt;0.7,IF(logic!$A$50=1,výkony!C34,výkony!P34),IF(logic!$A$50=1,výkony!AD34,výkony!AI34)))</f>
        <v>329</v>
      </c>
      <c r="E33" s="1">
        <f>IF(OR(E$12=0,$B33=0),0,IF(výkony!$D$8&lt;0.7,IF(logic!$A$50=1,výkony!D34,výkony!Q34),IF(logic!$A$50=1,výkony!AE34,výkony!AJ34)))</f>
        <v>429</v>
      </c>
      <c r="F33" s="1">
        <f>IF(OR(F$12=0,$B33=0),0,IF(výkony!$D$8&lt;0.7,IF(logic!$A$50=1,výkony!E34,výkony!R34),IF(logic!$A$50=1,výkony!AF34,výkony!AK34)))</f>
        <v>596</v>
      </c>
      <c r="G33" s="1">
        <f>IF(OR(G$12=0,$B33=0),0,IF(výkony!$D$8&lt;0.7,IF(logic!$A$50=1,výkony!F34,výkony!S34),IF(logic!$A$50=1,výkony!AG34,výkony!AL34)))</f>
        <v>750</v>
      </c>
      <c r="H33" s="3">
        <f>IF(OR(H$12=0,$B33=0),0,IF(výkony!$D$8&lt;0.7,IF(logic!$A$50=1,výkony!G34,výkony!T34),IF(logic!$A$50=1,výkony!AH34,výkony!AM34)))</f>
        <v>934</v>
      </c>
      <c r="I33" s="2">
        <f>IF(OR(I$12=0,$B33=0),0,IF(výkony!$D$8&lt;0.7,IF(logic!$A$50=1,výkony!H34,výkony!U34),IF(logic!$A$50=1,výkony!AI34,výkony!AN34)))</f>
        <v>329</v>
      </c>
      <c r="J33" s="1">
        <f>IF(OR(J$12=0,$B33=0),0,IF(výkony!$D$8&lt;0.7,IF(logic!$A$50=1,výkony!I34,výkony!V34),IF(logic!$A$50=1,výkony!AJ34,výkony!AO34)))</f>
        <v>429</v>
      </c>
      <c r="K33" s="1">
        <f>IF(OR(K$12=0,$B33=0),0,IF(výkony!$D$8&lt;0.7,IF(logic!$A$50=1,výkony!J34,výkony!W34),IF(logic!$A$50=1,výkony!AK34,výkony!AP34)))</f>
        <v>596</v>
      </c>
      <c r="L33" s="1">
        <f>IF(OR(L$12=0,$B33=0),0,IF(výkony!$D$8&lt;0.7,IF(logic!$A$50=1,výkony!K34,výkony!X34),IF(logic!$A$50=1,výkony!AL34,výkony!AQ34)))</f>
        <v>750</v>
      </c>
      <c r="M33" s="3">
        <f>IF(OR(M$12=0,$B33=0),0,IF(výkony!$D$8&lt;0.7,IF(logic!$A$50=1,výkony!L34,výkony!Y34),IF(logic!$A$50=1,výkony!AM34,výkony!AR34)))</f>
        <v>934</v>
      </c>
      <c r="N33" s="224">
        <f t="shared" si="12"/>
        <v>600</v>
      </c>
      <c r="O33" s="158"/>
      <c r="P33" s="158"/>
      <c r="Q33" s="158"/>
      <c r="R33" s="158"/>
      <c r="S33" s="93">
        <v>600</v>
      </c>
      <c r="T33" s="104" t="str">
        <f t="shared" si="13"/>
        <v>KLC-070060-00-10</v>
      </c>
      <c r="U33" s="105" t="str">
        <f t="shared" si="13"/>
        <v>KLC-090060-00-10</v>
      </c>
      <c r="V33" s="105" t="str">
        <f t="shared" si="13"/>
        <v>KLC-122060-00-10</v>
      </c>
      <c r="W33" s="105" t="str">
        <f t="shared" si="13"/>
        <v>KLC-150060-00-10</v>
      </c>
      <c r="X33" s="106" t="str">
        <f t="shared" si="13"/>
        <v>KLC-182060-00-10</v>
      </c>
      <c r="Y33" s="104" t="str">
        <f t="shared" si="14"/>
        <v>KLC-070060-00M10</v>
      </c>
      <c r="Z33" s="105" t="str">
        <f t="shared" si="14"/>
        <v>KLC-090060-00M10</v>
      </c>
      <c r="AA33" s="105" t="str">
        <f t="shared" si="14"/>
        <v>KLC-122060-00M10</v>
      </c>
      <c r="AB33" s="105" t="str">
        <f t="shared" si="14"/>
        <v>KLC-150060-00M10</v>
      </c>
      <c r="AC33" s="106" t="str">
        <f t="shared" si="14"/>
        <v>KLC-182060-00M10</v>
      </c>
      <c r="AD33" s="93">
        <v>600</v>
      </c>
    </row>
    <row r="34" spans="1:30" ht="13.5" customHeight="1" thickBot="1" x14ac:dyDescent="0.3">
      <c r="A34" s="158"/>
      <c r="B34">
        <f>IF(AND($K$5=logic!$I$4,$M$5=logic!$I$4),1,IF(AND(C34&gt;=$K$5,C34&lt;=$M$5),1,0))</f>
        <v>1</v>
      </c>
      <c r="C34" s="225">
        <f>IF(logic!$K$64=2,výkony!B35/logic!$M$64,výkony!B35)</f>
        <v>750</v>
      </c>
      <c r="D34" s="4">
        <f>IF(OR(D$12=0,$B34=0),0,IF(výkony!$D$8&lt;0.7,IF(logic!$A$50=1,výkony!C35,výkony!P35),IF(logic!$A$50=1,výkony!AD35,výkony!AI35)))</f>
        <v>400</v>
      </c>
      <c r="E34" s="5">
        <f>IF(OR(E$12=0,$B34=0),0,IF(výkony!$D$8&lt;0.7,IF(logic!$A$50=1,výkony!D35,výkony!Q35),IF(logic!$A$50=1,výkony!AE35,výkony!AJ35)))</f>
        <v>522</v>
      </c>
      <c r="F34" s="5">
        <f>IF(OR(F$12=0,$B34=0),0,IF(výkony!$D$8&lt;0.7,IF(logic!$A$50=1,výkony!E35,výkony!R35),IF(logic!$A$50=1,výkony!AF35,výkony!AK35)))</f>
        <v>726</v>
      </c>
      <c r="G34" s="5">
        <f>IF(OR(G$12=0,$B34=0),0,IF(výkony!$D$8&lt;0.7,IF(logic!$A$50=1,výkony!F35,výkony!S35),IF(logic!$A$50=1,výkony!AG35,výkony!AL35)))</f>
        <v>913</v>
      </c>
      <c r="H34" s="6">
        <f>IF(OR(H$12=0,$B34=0),0,IF(výkony!$D$8&lt;0.7,IF(logic!$A$50=1,výkony!G35,výkony!T35),IF(logic!$A$50=1,výkony!AH35,výkony!AM35)))</f>
        <v>1138</v>
      </c>
      <c r="I34" s="4">
        <f>IF(OR(I$12=0,$B34=0),0,IF(výkony!$D$8&lt;0.7,IF(logic!$A$50=1,výkony!H35,výkony!U35),IF(logic!$A$50=1,výkony!AI35,výkony!AN35)))</f>
        <v>400</v>
      </c>
      <c r="J34" s="5">
        <f>IF(OR(J$12=0,$B34=0),0,IF(výkony!$D$8&lt;0.7,IF(logic!$A$50=1,výkony!I35,výkony!V35),IF(logic!$A$50=1,výkony!AJ35,výkony!AO35)))</f>
        <v>522</v>
      </c>
      <c r="K34" s="5">
        <f>IF(OR(K$12=0,$B34=0),0,IF(výkony!$D$8&lt;0.7,IF(logic!$A$50=1,výkony!J35,výkony!W35),IF(logic!$A$50=1,výkony!AK35,výkony!AP35)))</f>
        <v>726</v>
      </c>
      <c r="L34" s="5">
        <f>IF(OR(L$12=0,$B34=0),0,IF(výkony!$D$8&lt;0.7,IF(logic!$A$50=1,výkony!K35,výkony!X35),IF(logic!$A$50=1,výkony!AL35,výkony!AQ35)))</f>
        <v>913</v>
      </c>
      <c r="M34" s="6">
        <f>IF(OR(M$12=0,$B34=0),0,IF(výkony!$D$8&lt;0.7,IF(logic!$A$50=1,výkony!L35,výkony!Y35),IF(logic!$A$50=1,výkony!AM35,výkony!AR35)))</f>
        <v>1138</v>
      </c>
      <c r="N34" s="225">
        <f t="shared" si="12"/>
        <v>750</v>
      </c>
      <c r="O34" s="158"/>
      <c r="P34" s="158"/>
      <c r="Q34" s="158"/>
      <c r="R34" s="158"/>
      <c r="S34" s="94">
        <v>750</v>
      </c>
      <c r="T34" s="107" t="str">
        <f t="shared" si="13"/>
        <v>KLC-070075-00-10</v>
      </c>
      <c r="U34" s="108" t="str">
        <f t="shared" si="13"/>
        <v>KLC-090075-00-10</v>
      </c>
      <c r="V34" s="108" t="str">
        <f t="shared" si="13"/>
        <v>KLC-122075-00-10</v>
      </c>
      <c r="W34" s="108" t="str">
        <f t="shared" si="13"/>
        <v>KLC-150075-00-10</v>
      </c>
      <c r="X34" s="109" t="str">
        <f t="shared" si="13"/>
        <v>KLC-182075-00-10</v>
      </c>
      <c r="Y34" s="107" t="str">
        <f t="shared" si="14"/>
        <v>KLC-070075-00M10</v>
      </c>
      <c r="Z34" s="108" t="str">
        <f t="shared" si="14"/>
        <v>KLC-090075-00M10</v>
      </c>
      <c r="AA34" s="108" t="str">
        <f t="shared" si="14"/>
        <v>KLC-122075-00M10</v>
      </c>
      <c r="AB34" s="108" t="str">
        <f t="shared" si="14"/>
        <v>KLC-150075-00M10</v>
      </c>
      <c r="AC34" s="109" t="str">
        <f t="shared" si="14"/>
        <v>KLC-182075-00M10</v>
      </c>
      <c r="AD34" s="94">
        <v>750</v>
      </c>
    </row>
    <row r="35" spans="1:30" ht="13.5" customHeight="1" thickBot="1" x14ac:dyDescent="0.3">
      <c r="A35" s="158"/>
      <c r="C35" s="34"/>
      <c r="D35" s="177"/>
      <c r="E35" s="177"/>
      <c r="F35" s="177"/>
      <c r="G35" s="177"/>
      <c r="H35" s="177"/>
      <c r="I35" s="177"/>
      <c r="J35" s="248">
        <f>IF(logic!$A$50=2,0,IF(AND($K$4=logic!$I$4,$M$4=logic!$I$4),1,IF(AND(J39&gt;=$K$4,F15&lt;=$M$4),1,0)))</f>
        <v>1</v>
      </c>
      <c r="K35" s="248">
        <f>IF(logic!$A$50=2,0,IF(AND($K$4=logic!$I$4,$M$4=logic!$I$4),1,IF(AND(K39&gt;=$K$4,G15&lt;=$M$4),1,0)))</f>
        <v>1</v>
      </c>
      <c r="L35" s="248">
        <f>IF(logic!$A$50=2,0,IF(AND($K$4=logic!$I$4,$M$4=logic!$I$4),1,IF(AND(L39&gt;=$K$4,H15&lt;=$M$4),1,0)))</f>
        <v>1</v>
      </c>
      <c r="M35" s="177"/>
      <c r="N35" s="34"/>
      <c r="O35" s="158"/>
      <c r="P35" s="158"/>
      <c r="Q35" s="158"/>
      <c r="R35" s="158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</row>
    <row r="36" spans="1:30" ht="13.5" customHeight="1" thickBot="1" x14ac:dyDescent="0.3">
      <c r="A36" s="158"/>
      <c r="C36" s="34"/>
      <c r="D36" s="41" t="s">
        <v>20</v>
      </c>
      <c r="E36" s="42"/>
      <c r="F36" s="42"/>
      <c r="G36" s="43"/>
      <c r="H36" s="34"/>
      <c r="N36" s="34"/>
      <c r="O36" s="158"/>
      <c r="P36" s="158"/>
      <c r="Q36" s="158"/>
      <c r="R36" s="158"/>
      <c r="S36" s="34"/>
      <c r="T36" s="69" t="s">
        <v>20</v>
      </c>
      <c r="U36" s="70"/>
      <c r="V36" s="70"/>
      <c r="W36" s="71"/>
      <c r="X36" s="34"/>
      <c r="Y36" s="34"/>
      <c r="Z36" s="69" t="s">
        <v>609</v>
      </c>
      <c r="AA36" s="70"/>
      <c r="AB36" s="70"/>
      <c r="AC36" s="34"/>
      <c r="AD36" s="34"/>
    </row>
    <row r="37" spans="1:30" ht="13.5" customHeight="1" thickBot="1" x14ac:dyDescent="0.3">
      <c r="A37" s="158"/>
      <c r="C37" s="7" t="str">
        <f>logic!$L$4</f>
        <v>Длина</v>
      </c>
      <c r="D37" s="44" t="str">
        <f>logic!$K$4&amp;" H ["&amp;logic!$O$64&amp;"]"</f>
        <v>Высота H [mm]</v>
      </c>
      <c r="E37" s="45"/>
      <c r="F37" s="45"/>
      <c r="G37" s="46"/>
      <c r="H37" s="34"/>
      <c r="I37" s="34"/>
      <c r="J37" s="41" t="s">
        <v>609</v>
      </c>
      <c r="K37" s="42"/>
      <c r="L37" s="43"/>
      <c r="N37" s="34"/>
      <c r="O37" s="158"/>
      <c r="P37" s="158"/>
      <c r="Q37" s="158"/>
      <c r="R37" s="158"/>
      <c r="S37" s="7" t="str">
        <f>logic!$L$4</f>
        <v>Длина</v>
      </c>
      <c r="T37" s="66" t="str">
        <f>logic!$K$4&amp;" H [mm]"</f>
        <v>Высота H [mm]</v>
      </c>
      <c r="U37" s="67"/>
      <c r="V37" s="67"/>
      <c r="W37" s="68"/>
      <c r="X37" s="34"/>
      <c r="Y37" s="7" t="str">
        <f>logic!$L$4</f>
        <v>Длина</v>
      </c>
      <c r="Z37" s="229" t="str">
        <f>logic!$K$4&amp;" H ["&amp;logic!$O$64&amp;"]"</f>
        <v>Высота H [mm]</v>
      </c>
      <c r="AA37" s="235"/>
      <c r="AB37" s="235"/>
      <c r="AC37" s="34"/>
      <c r="AD37" s="34"/>
    </row>
    <row r="38" spans="1:30" ht="13.5" customHeight="1" thickBot="1" x14ac:dyDescent="0.3">
      <c r="A38" s="158"/>
      <c r="C38" s="8" t="str">
        <f>"L ["&amp;logic!$O$64&amp;"]"</f>
        <v>L [mm]</v>
      </c>
      <c r="D38" s="15">
        <f>IF(logic!$K$64=2,výkony!C39/logic!$M$64,výkony!C39)</f>
        <v>700</v>
      </c>
      <c r="E38" s="16">
        <f>IF(logic!$K$64=2,výkony!D39/logic!$M$64,výkony!D39)</f>
        <v>900</v>
      </c>
      <c r="F38" s="16">
        <f>IF(logic!$K$64=2,výkony!E39/logic!$M$64,výkony!E39)</f>
        <v>1220</v>
      </c>
      <c r="G38" s="17">
        <f>IF(logic!$K$64=2,výkony!F39/logic!$M$64,výkony!F39)</f>
        <v>1500</v>
      </c>
      <c r="H38" s="34"/>
      <c r="I38" s="7" t="str">
        <f>logic!$L$4</f>
        <v>Длина</v>
      </c>
      <c r="J38" s="44" t="str">
        <f>logic!$K$4&amp;" H ["&amp;logic!$O$64&amp;"]"</f>
        <v>Высота H [mm]</v>
      </c>
      <c r="K38" s="45"/>
      <c r="L38" s="46"/>
      <c r="N38" s="34"/>
      <c r="O38" s="158"/>
      <c r="P38" s="158"/>
      <c r="Q38" s="158"/>
      <c r="R38" s="158"/>
      <c r="S38" s="8" t="s">
        <v>201</v>
      </c>
      <c r="T38" s="95">
        <v>700</v>
      </c>
      <c r="U38" s="96">
        <v>900</v>
      </c>
      <c r="V38" s="96">
        <v>1220</v>
      </c>
      <c r="W38" s="97">
        <v>1500</v>
      </c>
      <c r="X38" s="34"/>
      <c r="Y38" s="228" t="str">
        <f>"L ["&amp;logic!$O$64&amp;"]"</f>
        <v>L [mm]</v>
      </c>
      <c r="Z38" s="232">
        <v>1100</v>
      </c>
      <c r="AA38" s="233">
        <v>1420</v>
      </c>
      <c r="AB38" s="234">
        <v>1700</v>
      </c>
      <c r="AC38" s="34"/>
      <c r="AD38" s="34"/>
    </row>
    <row r="39" spans="1:30" ht="13.5" customHeight="1" thickBot="1" x14ac:dyDescent="0.3">
      <c r="A39" s="158"/>
      <c r="B39">
        <f>IF(AND($K$5=logic!$I$4,$M$5=logic!$I$4),1,IF(C39=$K$5,1,0))</f>
        <v>1</v>
      </c>
      <c r="C39" s="223">
        <f>IF(logic!$K$64=2,výkony!B40/logic!$M$64,výkony!B40)</f>
        <v>400</v>
      </c>
      <c r="D39" s="12">
        <f>IF(OR(D$12=0,$B39=0),0,IF(výkony!$D$8&lt;0.7,IF(logic!$A$50=1,výkony!C40,výkony!P40),IF(logic!$A$50=1,výkony!AD40,výkony!AI40)))</f>
        <v>198</v>
      </c>
      <c r="E39" s="13">
        <f>IF(OR(E$12=0,$B39=0),0,IF(výkony!$D$8&lt;0.7,IF(logic!$A$50=1,výkony!D40,výkony!Q40),IF(logic!$A$50=1,výkony!AE40,výkony!AJ40)))</f>
        <v>254</v>
      </c>
      <c r="F39" s="13">
        <f>IF(OR(F$12=0,$B39=0),0,IF(výkony!$D$8&lt;0.7,IF(logic!$A$50=1,výkony!E40,výkony!R40),IF(logic!$A$50=1,výkony!AF40,výkony!AK40)))</f>
        <v>345</v>
      </c>
      <c r="G39" s="14">
        <f>IF(OR(G$12=0,$B39=0),0,IF(výkony!$D$8&lt;0.7,IF(logic!$A$50=1,výkony!F40,výkony!S40),IF(logic!$A$50=1,výkony!AG40,výkony!AL40)))</f>
        <v>427</v>
      </c>
      <c r="H39" s="34"/>
      <c r="I39" s="8" t="str">
        <f>"L ["&amp;logic!$O$64&amp;"]"</f>
        <v>L [mm]</v>
      </c>
      <c r="J39" s="15">
        <f>IF(logic!$K$64=2,výkony!I40/logic!$M$64,výkony!I40)</f>
        <v>1100</v>
      </c>
      <c r="K39" s="16">
        <f>IF(logic!$K$64=2,výkony!J40/logic!$M$64,výkony!J40)</f>
        <v>1420</v>
      </c>
      <c r="L39" s="17">
        <f>IF(logic!$K$64=2,výkony!K40/logic!$M$64,výkony!K40)</f>
        <v>1700</v>
      </c>
      <c r="N39" s="34"/>
      <c r="O39" s="158"/>
      <c r="P39" s="158"/>
      <c r="Q39" s="158"/>
      <c r="R39" s="158"/>
      <c r="S39" s="92">
        <v>400</v>
      </c>
      <c r="T39" s="101" t="str">
        <f t="shared" ref="T39:W41" si="15">"KSC-"&amp;IF(LEN(T$38)=3,"0"&amp;T$38/10,T$38/10)&amp;"0"&amp;$S39/10&amp;"-00-10"</f>
        <v>KSC-070040-00-10</v>
      </c>
      <c r="U39" s="102" t="str">
        <f t="shared" si="15"/>
        <v>KSC-090040-00-10</v>
      </c>
      <c r="V39" s="102" t="str">
        <f t="shared" si="15"/>
        <v>KSC-122040-00-10</v>
      </c>
      <c r="W39" s="103" t="str">
        <f t="shared" si="15"/>
        <v>KSC-150040-00-10</v>
      </c>
      <c r="X39" s="34"/>
      <c r="Y39" s="227">
        <v>500</v>
      </c>
      <c r="Z39" s="101" t="s">
        <v>623</v>
      </c>
      <c r="AA39" s="102" t="s">
        <v>625</v>
      </c>
      <c r="AB39" s="103" t="s">
        <v>627</v>
      </c>
      <c r="AC39" s="34"/>
      <c r="AD39" s="34"/>
    </row>
    <row r="40" spans="1:30" ht="13.5" customHeight="1" thickBot="1" x14ac:dyDescent="0.3">
      <c r="A40" s="158"/>
      <c r="B40">
        <f>IF(AND($K$5=logic!$I$4,$M$5=logic!$I$4),1,IF(AND(C40&gt;=$K$5,C40&lt;=$M$5),1,0))</f>
        <v>1</v>
      </c>
      <c r="C40" s="224">
        <f>IF(logic!$K$64=2,výkony!B41/logic!$M$64,výkony!B41)</f>
        <v>500</v>
      </c>
      <c r="D40" s="2">
        <f>IF(OR(D$12=0,$B40=0),0,IF(výkony!$D$8&lt;0.7,IF(logic!$A$50=1,výkony!C41,výkony!P41),IF(logic!$A$50=1,výkony!AD41,výkony!AI41)))</f>
        <v>231</v>
      </c>
      <c r="E40" s="1">
        <f>IF(OR(E$12=0,$B40=0),0,IF(výkony!$D$8&lt;0.7,IF(logic!$A$50=1,výkony!D41,výkony!Q41),IF(logic!$A$50=1,výkony!AE41,výkony!AJ41)))</f>
        <v>297</v>
      </c>
      <c r="F40" s="1">
        <f>IF(OR(F$12=0,$B40=0),0,IF(výkony!$D$8&lt;0.7,IF(logic!$A$50=1,výkony!E41,výkony!R41),IF(logic!$A$50=1,výkony!AF41,výkony!AK41)))</f>
        <v>403</v>
      </c>
      <c r="G40" s="3">
        <f>IF(OR(G$12=0,$B40=0),0,IF(výkony!$D$8&lt;0.7,IF(logic!$A$50=1,výkony!F41,výkony!S41),IF(logic!$A$50=1,výkony!AG41,výkony!AL41)))</f>
        <v>499</v>
      </c>
      <c r="H40" s="34"/>
      <c r="I40" s="9">
        <f>IF(logic!$K$64=2,výkony!H41/logic!$M$64,výkony!H41)</f>
        <v>500</v>
      </c>
      <c r="J40" s="81">
        <f>IF(OR(J$12=0,$B40=0),0,IF(výkony!$D$8&lt;0.7,IF(logic!$A$50=1,výkony!I41,výkony!V41),IF(logic!$A$50=1,výkony!AJ41,výkony!AW41)))</f>
        <v>520</v>
      </c>
      <c r="K40" s="82">
        <f>IF(OR(K$12=0,$B40=0),0,IF(výkony!$D$8&lt;0.7,IF(logic!$A$50=1,výkony!J41,výkony!W41),IF(logic!$A$50=1,výkony!AK41,výkony!AX41)))</f>
        <v>670</v>
      </c>
      <c r="L40" s="83">
        <f>IF(OR(L$12=0,$B40=0),0,IF(výkony!$D$8&lt;0.7,IF(logic!$A$50=1,výkony!K41,výkony!X41),IF(logic!$A$50=1,výkony!AL41,výkony!AY41)))</f>
        <v>803</v>
      </c>
      <c r="N40" s="34"/>
      <c r="O40" s="158"/>
      <c r="P40" s="158"/>
      <c r="Q40" s="158"/>
      <c r="R40" s="158"/>
      <c r="S40" s="93">
        <v>500</v>
      </c>
      <c r="T40" s="110" t="str">
        <f t="shared" si="15"/>
        <v>KSC-070050-00-10</v>
      </c>
      <c r="U40" s="111" t="str">
        <f t="shared" si="15"/>
        <v>KSC-090050-00-10</v>
      </c>
      <c r="V40" s="111" t="str">
        <f t="shared" si="15"/>
        <v>KSC-122050-00-10</v>
      </c>
      <c r="W40" s="112" t="str">
        <f t="shared" si="15"/>
        <v>KSC-150050-00-10</v>
      </c>
      <c r="X40" s="34"/>
      <c r="Y40" s="225">
        <v>600</v>
      </c>
      <c r="Z40" s="107" t="s">
        <v>624</v>
      </c>
      <c r="AA40" s="108" t="s">
        <v>626</v>
      </c>
      <c r="AB40" s="109" t="s">
        <v>628</v>
      </c>
      <c r="AC40" s="34"/>
      <c r="AD40" s="34"/>
    </row>
    <row r="41" spans="1:30" ht="13.5" customHeight="1" thickBot="1" x14ac:dyDescent="0.3">
      <c r="A41" s="158"/>
      <c r="B41">
        <f>IF(AND($K$5=logic!$I$4,$M$5=logic!$I$4),1,IF(AND(C41&gt;=$K$5,C41&lt;=$M$5),1,0))</f>
        <v>1</v>
      </c>
      <c r="C41" s="225">
        <f>IF(logic!$K$64=2,výkony!B42/logic!$M$64,výkony!B42)</f>
        <v>600</v>
      </c>
      <c r="D41" s="4">
        <f>IF(OR(D$12=0,$B41=0),0,IF(výkony!$D$8&lt;0.7,IF(logic!$A$50=1,výkony!C42,výkony!P42),IF(logic!$A$50=1,výkony!AD42,výkony!AI42)))</f>
        <v>263</v>
      </c>
      <c r="E41" s="5">
        <f>IF(OR(E$12=0,$B41=0),0,IF(výkony!$D$8&lt;0.7,IF(logic!$A$50=1,výkony!D42,výkony!Q42),IF(logic!$A$50=1,výkony!AE42,výkony!AJ42)))</f>
        <v>337</v>
      </c>
      <c r="F41" s="5">
        <f>IF(OR(F$12=0,$B41=0),0,IF(výkony!$D$8&lt;0.7,IF(logic!$A$50=1,výkony!E42,výkony!R42),IF(logic!$A$50=1,výkony!AF42,výkony!AK42)))</f>
        <v>458</v>
      </c>
      <c r="G41" s="6">
        <f>IF(OR(G$12=0,$B41=0),0,IF(výkony!$D$8&lt;0.7,IF(logic!$A$50=1,výkony!F42,výkony!S42),IF(logic!$A$50=1,výkony!AG42,výkony!AL42)))</f>
        <v>567</v>
      </c>
      <c r="H41" s="34"/>
      <c r="I41" s="11">
        <f>IF(logic!$K$64=2,výkony!H42/logic!$M$64,výkony!H42)</f>
        <v>600</v>
      </c>
      <c r="J41" s="4">
        <f>IF(OR(J$12=0,$B41=0),0,IF(výkony!$D$8&lt;0.7,IF(logic!$A$50=1,výkony!I42,výkony!V42),IF(logic!$A$50=1,výkony!AJ42,výkony!AW42)))</f>
        <v>593</v>
      </c>
      <c r="K41" s="5">
        <f>IF(OR(K$12=0,$B41=0),0,IF(výkony!$D$8&lt;0.7,IF(logic!$A$50=1,výkony!J42,výkony!W42),IF(logic!$A$50=1,výkony!AK42,výkony!AX42)))</f>
        <v>763</v>
      </c>
      <c r="L41" s="6">
        <f>IF(OR(L$12=0,$B41=0),0,IF(výkony!$D$8&lt;0.7,IF(logic!$A$50=1,výkony!K42,výkony!X42),IF(logic!$A$50=1,výkony!AL42,výkony!AY42)))</f>
        <v>914</v>
      </c>
      <c r="N41" s="34"/>
      <c r="O41" s="158"/>
      <c r="P41" s="158"/>
      <c r="Q41" s="158"/>
      <c r="R41" s="158"/>
      <c r="S41" s="94">
        <v>600</v>
      </c>
      <c r="T41" s="107" t="str">
        <f t="shared" si="15"/>
        <v>KSC-070060-00-10</v>
      </c>
      <c r="U41" s="108" t="str">
        <f t="shared" si="15"/>
        <v>KSC-090060-00-10</v>
      </c>
      <c r="V41" s="108" t="str">
        <f t="shared" si="15"/>
        <v>KSC-122060-00-10</v>
      </c>
      <c r="W41" s="109" t="str">
        <f t="shared" si="15"/>
        <v>KSC-150060-00-10</v>
      </c>
      <c r="X41" s="34"/>
      <c r="Y41" s="34"/>
      <c r="Z41" s="34"/>
      <c r="AA41" s="34"/>
      <c r="AB41" s="34"/>
      <c r="AC41" s="34"/>
      <c r="AD41" s="34"/>
    </row>
    <row r="42" spans="1:30" x14ac:dyDescent="0.25">
      <c r="A42" s="158"/>
      <c r="C42" s="34"/>
      <c r="D42" s="177"/>
      <c r="E42" s="177"/>
      <c r="F42" s="177"/>
      <c r="G42" s="177"/>
      <c r="H42" s="34"/>
      <c r="N42" s="34"/>
      <c r="O42" s="158"/>
      <c r="P42" s="158"/>
      <c r="Q42" s="158"/>
      <c r="R42" s="158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</row>
    <row r="43" spans="1:30" ht="15.75" hidden="1" thickBot="1" x14ac:dyDescent="0.3">
      <c r="A43" s="158"/>
      <c r="C43" s="34"/>
      <c r="D43" s="41" t="s">
        <v>270</v>
      </c>
      <c r="E43" s="42"/>
      <c r="F43" s="42"/>
      <c r="G43" s="43"/>
      <c r="H43" s="34"/>
      <c r="I43" s="34"/>
      <c r="J43" s="34"/>
      <c r="K43" s="34"/>
      <c r="L43" s="34"/>
      <c r="M43" s="34"/>
      <c r="N43" s="34"/>
      <c r="O43" s="158"/>
      <c r="P43" s="158"/>
      <c r="Q43" s="158"/>
      <c r="R43" s="158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</row>
    <row r="44" spans="1:30" hidden="1" x14ac:dyDescent="0.25">
      <c r="A44" s="158"/>
      <c r="C44" s="7" t="str">
        <f>logic!$L$4</f>
        <v>Длина</v>
      </c>
      <c r="D44" s="44" t="str">
        <f>logic!$K$4&amp;" H ["&amp;logic!$O$64&amp;"]"</f>
        <v>Высота H [mm]</v>
      </c>
      <c r="E44" s="45"/>
      <c r="F44" s="45"/>
      <c r="G44" s="46"/>
      <c r="H44" s="34"/>
      <c r="I44" s="34"/>
      <c r="J44" s="34"/>
      <c r="K44" s="34"/>
      <c r="L44" s="34"/>
      <c r="M44" s="34"/>
      <c r="N44" s="34"/>
      <c r="O44" s="158"/>
      <c r="P44" s="158"/>
      <c r="Q44" s="158"/>
      <c r="R44" s="158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</row>
    <row r="45" spans="1:30" ht="15.75" hidden="1" thickBot="1" x14ac:dyDescent="0.3">
      <c r="A45" s="158"/>
      <c r="C45" s="8" t="str">
        <f>"L ["&amp;logic!$O$64&amp;"]"</f>
        <v>L [mm]</v>
      </c>
      <c r="D45" s="15">
        <f>IF(logic!$K$64=2,výkony!C76/logic!$M$64,výkony!C76)</f>
        <v>900</v>
      </c>
      <c r="E45" s="16">
        <f>IF(logic!$K$64=2,výkony!D76/logic!$M$64,výkony!D76)</f>
        <v>1220</v>
      </c>
      <c r="F45" s="16">
        <f>IF(logic!$K$64=2,výkony!E76/logic!$M$64,výkony!E76)</f>
        <v>1500</v>
      </c>
      <c r="G45" s="17">
        <f>IF(logic!$K$64=2,výkony!F76/logic!$M$64,výkony!F76)</f>
        <v>1820</v>
      </c>
      <c r="H45" s="34"/>
      <c r="I45" s="34"/>
      <c r="J45" s="34"/>
      <c r="K45" s="34"/>
      <c r="L45" s="34"/>
      <c r="M45" s="34"/>
      <c r="N45" s="34"/>
      <c r="O45" s="158"/>
      <c r="P45" s="158"/>
      <c r="Q45" s="158"/>
      <c r="R45" s="158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</row>
    <row r="46" spans="1:30" hidden="1" x14ac:dyDescent="0.25">
      <c r="A46" s="158"/>
      <c r="B46">
        <f>IF(AND($K$5=logic!$I$4,$M$5=logic!$I$4),1,IF(C46=$K$5,1,0))</f>
        <v>1</v>
      </c>
      <c r="C46" s="223">
        <f>IF(logic!$K$64=2,výkony!B77/logic!$M$64,výkony!B77)</f>
        <v>450</v>
      </c>
      <c r="D46" s="12">
        <f>IF(OR(D$12=0,$B46=0),0,IF(výkony!$D$8&lt;0.7,IF(logic!$A$50=1,výkony!C47,výkony!P47),IF(logic!$A$50=1,výkony!AD47,výkony!AI47)))</f>
        <v>249</v>
      </c>
      <c r="E46" s="13">
        <f>IF(OR(E$12=0,$B46=0),0,IF(výkony!$D$8&lt;0.7,IF(logic!$A$50=1,výkony!D47,výkony!Q47),IF(logic!$A$50=1,výkony!AE47,výkony!AJ47)))</f>
        <v>338</v>
      </c>
      <c r="F46" s="13">
        <f>IF(OR(F$12=0,$B46=0),0,IF(výkony!$D$8&lt;0.7,IF(logic!$A$50=1,výkony!E47,výkony!R47),IF(logic!$A$50=1,výkony!AF47,výkony!AK47)))</f>
        <v>419</v>
      </c>
      <c r="G46" s="14">
        <f>IF(OR(G$12=0,$B46=0),0,IF(výkony!$D$8&lt;0.7,IF(logic!$A$50=1,výkony!F47,výkony!S47),IF(logic!$A$50=1,výkony!AG47,výkony!AL47)))</f>
        <v>516</v>
      </c>
      <c r="H46" s="34"/>
      <c r="I46" s="34"/>
      <c r="J46" s="34"/>
      <c r="K46" s="34"/>
      <c r="L46" s="34"/>
      <c r="M46" s="34"/>
      <c r="N46" s="34"/>
      <c r="O46" s="158"/>
      <c r="P46" s="158"/>
      <c r="Q46" s="158"/>
      <c r="R46" s="158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</row>
    <row r="47" spans="1:30" hidden="1" x14ac:dyDescent="0.25">
      <c r="A47" s="158"/>
      <c r="B47">
        <f>IF(AND($K$5=logic!$I$4,$M$5=logic!$I$4),1,IF(AND(C47&gt;=$K$5,C47&lt;=$M$5),1,0))</f>
        <v>1</v>
      </c>
      <c r="C47" s="224">
        <f>IF(logic!$K$64=2,výkony!B78/logic!$M$64,výkony!B78)</f>
        <v>600</v>
      </c>
      <c r="D47" s="2">
        <f>IF(OR(D$12=0,$B47=0),0,IF(výkony!$D$8&lt;0.7,IF(logic!$A$50=1,výkony!C48,výkony!P48),IF(logic!$A$50=1,výkony!AD48,výkony!AI48)))</f>
        <v>319</v>
      </c>
      <c r="E47" s="1">
        <f>IF(OR(E$12=0,$B47=0),0,IF(výkony!$D$8&lt;0.7,IF(logic!$A$50=1,výkony!D48,výkony!Q48),IF(logic!$A$50=1,výkony!AE48,výkony!AJ48)))</f>
        <v>433</v>
      </c>
      <c r="F47" s="1">
        <f>IF(OR(F$12=0,$B47=0),0,IF(výkony!$D$8&lt;0.7,IF(logic!$A$50=1,výkony!E48,výkony!R48),IF(logic!$A$50=1,výkony!AF48,výkony!AK48)))</f>
        <v>537</v>
      </c>
      <c r="G47" s="3">
        <f>IF(OR(G$12=0,$B47=0),0,IF(výkony!$D$8&lt;0.7,IF(logic!$A$50=1,výkony!F48,výkony!S48),IF(logic!$A$50=1,výkony!AG48,výkony!AL48)))</f>
        <v>662</v>
      </c>
      <c r="H47" s="34"/>
      <c r="I47" s="34"/>
      <c r="J47" s="34"/>
      <c r="K47" s="34"/>
      <c r="L47" s="34"/>
      <c r="M47" s="34"/>
      <c r="N47" s="34"/>
      <c r="O47" s="158"/>
      <c r="P47" s="158"/>
      <c r="Q47" s="158"/>
      <c r="R47" s="158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</row>
    <row r="48" spans="1:30" ht="15.75" hidden="1" thickBot="1" x14ac:dyDescent="0.3">
      <c r="A48" s="158"/>
      <c r="B48">
        <f>IF(AND($K$5=logic!$I$4,$M$5=logic!$I$4),1,IF(AND(C48&gt;=$K$5,C48&lt;=$M$5),1,0))</f>
        <v>1</v>
      </c>
      <c r="C48" s="225">
        <f>IF(logic!$K$64=2,výkony!B79/logic!$M$64,výkony!B79)</f>
        <v>750</v>
      </c>
      <c r="D48" s="4">
        <f>IF(OR(D$12=0,$B48=0),0,IF(výkony!$D$8&lt;0.7,IF(logic!$A$50=1,výkony!C49,výkony!P49),IF(logic!$A$50=1,výkony!AD49,výkony!AI49)))</f>
        <v>387</v>
      </c>
      <c r="E48" s="5">
        <f>IF(OR(E$12=0,$B48=0),0,IF(výkony!$D$8&lt;0.7,IF(logic!$A$50=1,výkony!D49,výkony!Q49),IF(logic!$A$50=1,výkony!AE49,výkony!AJ49)))</f>
        <v>526</v>
      </c>
      <c r="F48" s="5">
        <f>IF(OR(F$12=0,$B48=0),0,IF(výkony!$D$8&lt;0.7,IF(logic!$A$50=1,výkony!E49,výkony!R49),IF(logic!$A$50=1,výkony!AF49,výkony!AK49)))</f>
        <v>652</v>
      </c>
      <c r="G48" s="6">
        <f>IF(OR(G$12=0,$B48=0),0,IF(výkony!$D$8&lt;0.7,IF(logic!$A$50=1,výkony!F49,výkony!S49),IF(logic!$A$50=1,výkony!AG49,výkony!AL49)))</f>
        <v>802</v>
      </c>
      <c r="H48" s="34"/>
      <c r="I48" s="34"/>
      <c r="J48" s="34"/>
      <c r="K48" s="34"/>
      <c r="L48" s="34"/>
      <c r="M48" s="34"/>
      <c r="N48" s="34"/>
      <c r="O48" s="158"/>
      <c r="P48" s="158"/>
      <c r="Q48" s="158"/>
      <c r="R48" s="158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</row>
    <row r="49" spans="1:31" hidden="1" x14ac:dyDescent="0.25">
      <c r="A49" s="158"/>
      <c r="C49" s="34"/>
      <c r="D49" s="177"/>
      <c r="E49" s="177"/>
      <c r="F49" s="177"/>
      <c r="G49" s="177"/>
      <c r="H49" s="34"/>
      <c r="I49" s="34"/>
      <c r="J49" s="34"/>
      <c r="K49" s="34"/>
      <c r="L49" s="34"/>
      <c r="M49" s="34"/>
      <c r="N49" s="34"/>
      <c r="O49" s="158"/>
      <c r="P49" s="158"/>
      <c r="Q49" s="158"/>
      <c r="R49" s="158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</row>
    <row r="50" spans="1:31" ht="15.75" hidden="1" thickBot="1" x14ac:dyDescent="0.3">
      <c r="A50" s="158"/>
      <c r="C50" s="34"/>
      <c r="D50" s="35" t="s">
        <v>267</v>
      </c>
      <c r="E50" s="36"/>
      <c r="F50" s="36"/>
      <c r="G50" s="36"/>
      <c r="H50" s="36"/>
      <c r="I50" s="35" t="s">
        <v>269</v>
      </c>
      <c r="J50" s="36"/>
      <c r="K50" s="36"/>
      <c r="L50" s="36"/>
      <c r="M50" s="37"/>
      <c r="N50" s="34"/>
      <c r="O50" s="158"/>
      <c r="P50" s="158"/>
      <c r="Q50" s="158"/>
      <c r="R50" s="158"/>
      <c r="S50" s="34"/>
      <c r="T50" s="60" t="s">
        <v>267</v>
      </c>
      <c r="U50" s="61"/>
      <c r="V50" s="61"/>
      <c r="W50" s="61"/>
      <c r="X50" s="61"/>
      <c r="Y50" s="60" t="s">
        <v>269</v>
      </c>
      <c r="Z50" s="61"/>
      <c r="AA50" s="61"/>
      <c r="AB50" s="61"/>
      <c r="AC50" s="62"/>
      <c r="AD50" s="34"/>
    </row>
    <row r="51" spans="1:31" hidden="1" x14ac:dyDescent="0.25">
      <c r="A51" s="158"/>
      <c r="C51" s="7" t="str">
        <f>logic!$L$4</f>
        <v>Длина</v>
      </c>
      <c r="D51" s="38" t="str">
        <f>logic!$K$4&amp;" H ["&amp;logic!$O$64&amp;"]"</f>
        <v>Высота H [mm]</v>
      </c>
      <c r="E51" s="39"/>
      <c r="F51" s="39"/>
      <c r="G51" s="39"/>
      <c r="H51" s="40"/>
      <c r="I51" s="38" t="str">
        <f>logic!$K$4&amp;" H ["&amp;logic!$O$64&amp;"]"</f>
        <v>Высота H [mm]</v>
      </c>
      <c r="J51" s="39"/>
      <c r="K51" s="39"/>
      <c r="L51" s="39"/>
      <c r="M51" s="40"/>
      <c r="N51" s="7" t="str">
        <f>logic!$L$4</f>
        <v>Длина</v>
      </c>
      <c r="O51" s="158"/>
      <c r="P51" s="158"/>
      <c r="Q51" s="158"/>
      <c r="R51" s="158"/>
      <c r="S51" s="7" t="str">
        <f>logic!$L$4</f>
        <v>Длина</v>
      </c>
      <c r="T51" s="63" t="str">
        <f>logic!$K$4&amp;" H [mm]"</f>
        <v>Высота H [mm]</v>
      </c>
      <c r="U51" s="64"/>
      <c r="V51" s="64"/>
      <c r="W51" s="64"/>
      <c r="X51" s="65"/>
      <c r="Y51" s="63" t="str">
        <f>logic!$K$4&amp;" H [mm]"</f>
        <v>Высота H [mm]</v>
      </c>
      <c r="Z51" s="64"/>
      <c r="AA51" s="64"/>
      <c r="AB51" s="64"/>
      <c r="AC51" s="65"/>
      <c r="AD51" s="7" t="str">
        <f>logic!$L$4</f>
        <v>Длина</v>
      </c>
    </row>
    <row r="52" spans="1:31" ht="15.75" hidden="1" thickBot="1" x14ac:dyDescent="0.3">
      <c r="A52" s="158"/>
      <c r="C52" s="8" t="str">
        <f>"L ["&amp;logic!$O$64&amp;"]"</f>
        <v>L [mm]</v>
      </c>
      <c r="D52" s="15">
        <f>IF(logic!$K$64=2,výkony!C53/logic!$M$64,výkony!C53)</f>
        <v>700</v>
      </c>
      <c r="E52" s="16">
        <f>IF(logic!$K$64=2,výkony!D53/logic!$M$64,výkony!D53)</f>
        <v>900</v>
      </c>
      <c r="F52" s="16">
        <f>IF(logic!$K$64=2,výkony!E53/logic!$M$64,výkony!E53)</f>
        <v>1220</v>
      </c>
      <c r="G52" s="16">
        <f>IF(logic!$K$64=2,výkony!F53/logic!$M$64,výkony!F53)</f>
        <v>1500</v>
      </c>
      <c r="H52" s="17">
        <f>IF(logic!$K$64=2,výkony!G53/logic!$M$64,výkony!G53)</f>
        <v>1820</v>
      </c>
      <c r="I52" s="15">
        <f>IF(logic!$K$64=2,výkony!H53/logic!$M$64,výkony!H53)</f>
        <v>700</v>
      </c>
      <c r="J52" s="16">
        <f>IF(logic!$K$64=2,výkony!I53/logic!$M$64,výkony!I53)</f>
        <v>900</v>
      </c>
      <c r="K52" s="16">
        <f>IF(logic!$K$64=2,výkony!J53/logic!$M$64,výkony!J53)</f>
        <v>1220</v>
      </c>
      <c r="L52" s="16">
        <f>IF(logic!$K$64=2,výkony!K53/logic!$M$64,výkony!K53)</f>
        <v>1500</v>
      </c>
      <c r="M52" s="17">
        <f>IF(logic!$K$64=2,výkony!L53/logic!$M$64,výkony!L53)</f>
        <v>1820</v>
      </c>
      <c r="N52" s="8" t="str">
        <f>"L ["&amp;logic!$O$64&amp;"]"</f>
        <v>L [mm]</v>
      </c>
      <c r="O52" s="158"/>
      <c r="P52" s="158"/>
      <c r="Q52" s="158"/>
      <c r="R52" s="158"/>
      <c r="S52" s="8" t="s">
        <v>201</v>
      </c>
      <c r="T52" s="95">
        <v>700</v>
      </c>
      <c r="U52" s="96">
        <v>900</v>
      </c>
      <c r="V52" s="96">
        <v>1220</v>
      </c>
      <c r="W52" s="96">
        <v>1500</v>
      </c>
      <c r="X52" s="97">
        <v>1820</v>
      </c>
      <c r="Y52" s="95">
        <v>700</v>
      </c>
      <c r="Z52" s="96">
        <v>900</v>
      </c>
      <c r="AA52" s="96">
        <v>1220</v>
      </c>
      <c r="AB52" s="96">
        <v>1500</v>
      </c>
      <c r="AC52" s="97">
        <v>1820</v>
      </c>
      <c r="AD52" s="8" t="s">
        <v>201</v>
      </c>
    </row>
    <row r="53" spans="1:31" hidden="1" x14ac:dyDescent="0.25">
      <c r="A53" s="158"/>
      <c r="B53">
        <f>IF(AND($K$5=logic!$I$4,$M$5=logic!$I$4),1,IF(AND(C53&gt;=$K$5,C53&lt;=$M$5),1,0))</f>
        <v>1</v>
      </c>
      <c r="C53" s="223">
        <f>IF(logic!$K$64=2,výkony!B54/logic!$M$64,výkony!B54)</f>
        <v>450</v>
      </c>
      <c r="D53" s="12">
        <f>IF(OR(D$12=0,$B53=0),0,IF(výkony!$D$8&lt;0.7,IF(logic!$A$50=1,výkony!C54,výkony!P54),IF(logic!$A$50=1,výkony!AD54,výkony!AI54)))</f>
        <v>335</v>
      </c>
      <c r="E53" s="13">
        <f>IF(OR(E$12=0,$B53=0),0,IF(výkony!$D$8&lt;0.7,IF(logic!$A$50=1,výkony!D54,výkony!Q54),IF(logic!$A$50=1,výkony!AE54,výkony!AJ54)))</f>
        <v>432</v>
      </c>
      <c r="F53" s="13">
        <f>IF(OR(F$12=0,$B53=0),0,IF(výkony!$D$8&lt;0.7,IF(logic!$A$50=1,výkony!E54,výkony!R54),IF(logic!$A$50=1,výkony!AF54,výkony!AK54)))</f>
        <v>589</v>
      </c>
      <c r="G53" s="13">
        <f>IF(OR(G$12=0,$B53=0),0,IF(výkony!$D$8&lt;0.7,IF(logic!$A$50=1,výkony!F54,výkony!S54),IF(logic!$A$50=1,výkony!AG54,výkony!AL54)))</f>
        <v>725</v>
      </c>
      <c r="H53" s="14">
        <f>IF(OR(H$12=0,$B53=0),0,IF(výkony!$D$8&lt;0.7,IF(logic!$A$50=1,výkony!G54,výkony!T54),IF(logic!$A$50=1,výkony!AH54,výkony!AM54)))</f>
        <v>879</v>
      </c>
      <c r="I53" s="12">
        <f>IF(OR(I$12=0,$B53=0),0,IF(výkony!$D$8&lt;0.7,IF(logic!$A$50=1,výkony!H54,výkony!U54),IF(logic!$A$50=1,výkony!AI54,výkony!AN54)))</f>
        <v>335</v>
      </c>
      <c r="J53" s="13">
        <f>IF(OR(J$12=0,$B53=0),0,IF(výkony!$D$8&lt;0.7,IF(logic!$A$50=1,výkony!I54,výkony!V54),IF(logic!$A$50=1,výkony!AJ54,výkony!AO54)))</f>
        <v>432</v>
      </c>
      <c r="K53" s="13">
        <f>IF(OR(K$12=0,$B53=0),0,IF(výkony!$D$8&lt;0.7,IF(logic!$A$50=1,výkony!J54,výkony!W54),IF(logic!$A$50=1,výkony!AK54,výkony!AP54)))</f>
        <v>589</v>
      </c>
      <c r="L53" s="13">
        <f>IF(OR(L$12=0,$B53=0),0,IF(výkony!$D$8&lt;0.7,IF(logic!$A$50=1,výkony!K54,výkony!X54),IF(logic!$A$50=1,výkony!AL54,výkony!AQ54)))</f>
        <v>725</v>
      </c>
      <c r="M53" s="14">
        <f>IF(OR(M$12=0,$B53=0),0,IF(výkony!$D$8&lt;0.7,IF(logic!$A$50=1,výkony!L54,výkony!Y54),IF(logic!$A$50=1,výkony!AM54,výkony!AR54)))</f>
        <v>879</v>
      </c>
      <c r="N53" s="223">
        <f>C53</f>
        <v>450</v>
      </c>
      <c r="O53" s="158"/>
      <c r="P53" s="158"/>
      <c r="Q53" s="158"/>
      <c r="R53" s="158"/>
      <c r="S53" s="92">
        <v>445</v>
      </c>
      <c r="T53" s="113" t="str">
        <f>"KRM-"&amp;IF(LEN(T$52)=3,"0"&amp;T$52/10,T$52/10)&amp;"0"&amp;ROUND($S53/10,0)&amp;"-00-10"</f>
        <v>KRM-070045-00-10</v>
      </c>
      <c r="U53" s="114" t="str">
        <f t="shared" ref="U53:X53" si="16">"KRM-"&amp;IF(LEN(U$52)=3,"0"&amp;U$52/10,U$52/10)&amp;"0"&amp;ROUND($S53/10,0)&amp;"-00-10"</f>
        <v>KRM-090045-00-10</v>
      </c>
      <c r="V53" s="114" t="str">
        <f t="shared" si="16"/>
        <v>KRM-122045-00-10</v>
      </c>
      <c r="W53" s="114" t="str">
        <f t="shared" si="16"/>
        <v>KRM-150045-00-10</v>
      </c>
      <c r="X53" s="115" t="str">
        <f t="shared" si="16"/>
        <v>KRM-182045-00-10</v>
      </c>
      <c r="Y53" s="113" t="str">
        <f>"KRM-"&amp;IF(LEN(Y$52)=3,"0"&amp;Y$52/10,Y$52/10)&amp;"0"&amp;ROUND($S53/10,0)&amp;"-00M10"</f>
        <v>KRM-070045-00M10</v>
      </c>
      <c r="Z53" s="114" t="str">
        <f t="shared" ref="Z53:AC53" si="17">"KRM-"&amp;IF(LEN(Z$52)=3,"0"&amp;Z$52/10,Z$52/10)&amp;"0"&amp;ROUND($S53/10,0)&amp;"-00M10"</f>
        <v>KRM-090045-00M10</v>
      </c>
      <c r="AA53" s="114" t="str">
        <f t="shared" si="17"/>
        <v>KRM-122045-00M10</v>
      </c>
      <c r="AB53" s="114" t="str">
        <f t="shared" si="17"/>
        <v>KRM-150045-00M10</v>
      </c>
      <c r="AC53" s="115" t="str">
        <f t="shared" si="17"/>
        <v>KRM-182045-00M10</v>
      </c>
      <c r="AD53" s="92">
        <v>445</v>
      </c>
    </row>
    <row r="54" spans="1:31" hidden="1" x14ac:dyDescent="0.25">
      <c r="A54" s="158"/>
      <c r="B54">
        <f>IF(AND($K$5=logic!$I$4,$M$5=logic!$I$4),1,IF(AND(C54&gt;=$K$5,C54&lt;=$M$5),1,0))</f>
        <v>1</v>
      </c>
      <c r="C54" s="224">
        <f>IF(logic!$K$64=2,výkony!B55/logic!$M$64,výkony!B55)</f>
        <v>600</v>
      </c>
      <c r="D54" s="2">
        <f>IF(OR(D$12=0,$B54=0),0,IF(výkony!$D$8&lt;0.7,IF(logic!$A$50=1,výkony!C55,výkony!P55),IF(logic!$A$50=1,výkony!AD55,výkony!AI55)))</f>
        <v>444</v>
      </c>
      <c r="E54" s="1">
        <f>IF(OR(E$12=0,$B54=0),0,IF(výkony!$D$8&lt;0.7,IF(logic!$A$50=1,výkony!D55,výkony!Q55),IF(logic!$A$50=1,výkony!AE55,výkony!AJ55)))</f>
        <v>574</v>
      </c>
      <c r="F54" s="1">
        <f>IF(OR(F$12=0,$B54=0),0,IF(výkony!$D$8&lt;0.7,IF(logic!$A$50=1,výkony!E55,výkony!R55),IF(logic!$A$50=1,výkony!AF55,výkony!AK55)))</f>
        <v>781</v>
      </c>
      <c r="G54" s="1">
        <f>IF(OR(G$12=0,$B54=0),0,IF(výkony!$D$8&lt;0.7,IF(logic!$A$50=1,výkony!F55,výkony!S55),IF(logic!$A$50=1,výkony!AG55,výkony!AL55)))</f>
        <v>962</v>
      </c>
      <c r="H54" s="3">
        <f>IF(OR(H$12=0,$B54=0),0,IF(výkony!$D$8&lt;0.7,IF(logic!$A$50=1,výkony!G55,výkony!T55),IF(logic!$A$50=1,výkony!AH55,výkony!AM55)))</f>
        <v>1166</v>
      </c>
      <c r="I54" s="2">
        <f>IF(OR(I$12=0,$B54=0),0,IF(výkony!$D$8&lt;0.7,IF(logic!$A$50=1,výkony!H55,výkony!U55),IF(logic!$A$50=1,výkony!AI55,výkony!AN55)))</f>
        <v>444</v>
      </c>
      <c r="J54" s="1">
        <f>IF(OR(J$12=0,$B54=0),0,IF(výkony!$D$8&lt;0.7,IF(logic!$A$50=1,výkony!I55,výkony!V55),IF(logic!$A$50=1,výkony!AJ55,výkony!AO55)))</f>
        <v>574</v>
      </c>
      <c r="K54" s="1">
        <f>IF(OR(K$12=0,$B54=0),0,IF(výkony!$D$8&lt;0.7,IF(logic!$A$50=1,výkony!J55,výkony!W55),IF(logic!$A$50=1,výkony!AK55,výkony!AP55)))</f>
        <v>781</v>
      </c>
      <c r="L54" s="1">
        <f>IF(OR(L$12=0,$B54=0),0,IF(výkony!$D$8&lt;0.7,IF(logic!$A$50=1,výkony!K55,výkony!X55),IF(logic!$A$50=1,výkony!AL55,výkony!AQ55)))</f>
        <v>962</v>
      </c>
      <c r="M54" s="3">
        <f>IF(OR(M$12=0,$B54=0),0,IF(výkony!$D$8&lt;0.7,IF(logic!$A$50=1,výkony!L55,výkony!Y55),IF(logic!$A$50=1,výkony!AM55,výkony!AR55)))</f>
        <v>1166</v>
      </c>
      <c r="N54" s="224">
        <f t="shared" ref="N54:N55" si="18">C54</f>
        <v>600</v>
      </c>
      <c r="O54" s="158"/>
      <c r="P54" s="158"/>
      <c r="Q54" s="158"/>
      <c r="R54" s="158"/>
      <c r="S54" s="93">
        <v>595</v>
      </c>
      <c r="T54" s="116" t="str">
        <f t="shared" ref="T54:X55" si="19">"KRM-"&amp;IF(LEN(T$52)=3,"0"&amp;T$52/10,T$52/10)&amp;"0"&amp;ROUND($S54/10,0)&amp;"-00-10"</f>
        <v>KRM-070060-00-10</v>
      </c>
      <c r="U54" s="117" t="str">
        <f t="shared" si="19"/>
        <v>KRM-090060-00-10</v>
      </c>
      <c r="V54" s="117" t="str">
        <f t="shared" si="19"/>
        <v>KRM-122060-00-10</v>
      </c>
      <c r="W54" s="117" t="str">
        <f t="shared" si="19"/>
        <v>KRM-150060-00-10</v>
      </c>
      <c r="X54" s="118" t="str">
        <f t="shared" si="19"/>
        <v>KRM-182060-00-10</v>
      </c>
      <c r="Y54" s="116" t="str">
        <f t="shared" ref="Y54:AC55" si="20">"KRM-"&amp;IF(LEN(Y$52)=3,"0"&amp;Y$52/10,Y$52/10)&amp;"0"&amp;ROUND($S54/10,0)&amp;"-00M10"</f>
        <v>KRM-070060-00M10</v>
      </c>
      <c r="Z54" s="117" t="str">
        <f t="shared" si="20"/>
        <v>KRM-090060-00M10</v>
      </c>
      <c r="AA54" s="117" t="str">
        <f t="shared" si="20"/>
        <v>KRM-122060-00M10</v>
      </c>
      <c r="AB54" s="117" t="str">
        <f t="shared" si="20"/>
        <v>KRM-150060-00M10</v>
      </c>
      <c r="AC54" s="118" t="str">
        <f t="shared" si="20"/>
        <v>KRM-182060-00M10</v>
      </c>
      <c r="AD54" s="93">
        <v>595</v>
      </c>
    </row>
    <row r="55" spans="1:31" ht="15.75" hidden="1" thickBot="1" x14ac:dyDescent="0.3">
      <c r="A55" s="158"/>
      <c r="B55">
        <f>IF(AND($K$5=logic!$I$4,$M$5=logic!$I$4),1,IF(AND(C55&gt;=$K$5,C55&lt;=$M$5),1,0))</f>
        <v>1</v>
      </c>
      <c r="C55" s="225">
        <f>IF(logic!$K$64=2,výkony!B56/logic!$M$64,výkony!B56)</f>
        <v>750</v>
      </c>
      <c r="D55" s="4">
        <f>IF(OR(D$12=0,$B55=0),0,IF(výkony!$D$8&lt;0.7,IF(logic!$A$50=1,výkony!C56,výkony!P56),IF(logic!$A$50=1,výkony!AD56,výkony!AI56)))</f>
        <v>553</v>
      </c>
      <c r="E55" s="5">
        <f>IF(OR(E$12=0,$B55=0),0,IF(výkony!$D$8&lt;0.7,IF(logic!$A$50=1,výkony!D56,výkony!Q56),IF(logic!$A$50=1,výkony!AE56,výkony!AJ56)))</f>
        <v>714</v>
      </c>
      <c r="F55" s="5">
        <f>IF(OR(F$12=0,$B55=0),0,IF(výkony!$D$8&lt;0.7,IF(logic!$A$50=1,výkony!E56,výkony!R56),IF(logic!$A$50=1,výkony!AF56,výkony!AK56)))</f>
        <v>973</v>
      </c>
      <c r="G55" s="5">
        <f>IF(OR(G$12=0,$B55=0),0,IF(výkony!$D$8&lt;0.7,IF(logic!$A$50=1,výkony!F56,výkony!S56),IF(logic!$A$50=1,výkony!AG56,výkony!AL56)))</f>
        <v>1197</v>
      </c>
      <c r="H55" s="6">
        <f>IF(OR(H$12=0,$B55=0),0,IF(výkony!$D$8&lt;0.7,IF(logic!$A$50=1,výkony!G56,výkony!T56),IF(logic!$A$50=1,výkony!AH56,výkony!AM56)))</f>
        <v>1452</v>
      </c>
      <c r="I55" s="4">
        <f>IF(OR(I$12=0,$B55=0),0,IF(výkony!$D$8&lt;0.7,IF(logic!$A$50=1,výkony!H56,výkony!U56),IF(logic!$A$50=1,výkony!AI56,výkony!AN56)))</f>
        <v>553</v>
      </c>
      <c r="J55" s="5">
        <f>IF(OR(J$12=0,$B55=0),0,IF(výkony!$D$8&lt;0.7,IF(logic!$A$50=1,výkony!I56,výkony!V56),IF(logic!$A$50=1,výkony!AJ56,výkony!AO56)))</f>
        <v>714</v>
      </c>
      <c r="K55" s="5">
        <f>IF(OR(K$12=0,$B55=0),0,IF(výkony!$D$8&lt;0.7,IF(logic!$A$50=1,výkony!J56,výkony!W56),IF(logic!$A$50=1,výkony!AK56,výkony!AP56)))</f>
        <v>973</v>
      </c>
      <c r="L55" s="5">
        <f>IF(OR(L$12=0,$B55=0),0,IF(výkony!$D$8&lt;0.7,IF(logic!$A$50=1,výkony!K56,výkony!X56),IF(logic!$A$50=1,výkony!AL56,výkony!AQ56)))</f>
        <v>1197</v>
      </c>
      <c r="M55" s="6">
        <f>IF(OR(M$12=0,$B55=0),0,IF(výkony!$D$8&lt;0.7,IF(logic!$A$50=1,výkony!L56,výkony!Y56),IF(logic!$A$50=1,výkony!AM56,výkony!AR56)))</f>
        <v>1452</v>
      </c>
      <c r="N55" s="225">
        <f t="shared" si="18"/>
        <v>750</v>
      </c>
      <c r="O55" s="158"/>
      <c r="P55" s="158"/>
      <c r="Q55" s="158"/>
      <c r="R55" s="158"/>
      <c r="S55" s="94">
        <v>745</v>
      </c>
      <c r="T55" s="119" t="str">
        <f t="shared" si="19"/>
        <v>KRM-070075-00-10</v>
      </c>
      <c r="U55" s="120" t="str">
        <f t="shared" si="19"/>
        <v>KRM-090075-00-10</v>
      </c>
      <c r="V55" s="120" t="str">
        <f t="shared" si="19"/>
        <v>KRM-122075-00-10</v>
      </c>
      <c r="W55" s="120" t="str">
        <f t="shared" si="19"/>
        <v>KRM-150075-00-10</v>
      </c>
      <c r="X55" s="121" t="str">
        <f t="shared" si="19"/>
        <v>KRM-182075-00-10</v>
      </c>
      <c r="Y55" s="119" t="str">
        <f t="shared" si="20"/>
        <v>KRM-070075-00M10</v>
      </c>
      <c r="Z55" s="120" t="str">
        <f t="shared" si="20"/>
        <v>KRM-090075-00M10</v>
      </c>
      <c r="AA55" s="120" t="str">
        <f t="shared" si="20"/>
        <v>KRM-122075-00M10</v>
      </c>
      <c r="AB55" s="120" t="str">
        <f t="shared" si="20"/>
        <v>KRM-150075-00M10</v>
      </c>
      <c r="AC55" s="121" t="str">
        <f t="shared" si="20"/>
        <v>KRM-182075-00M10</v>
      </c>
      <c r="AD55" s="94">
        <v>745</v>
      </c>
    </row>
    <row r="56" spans="1:31" ht="15.75" hidden="1" thickBot="1" x14ac:dyDescent="0.3">
      <c r="A56" s="158"/>
      <c r="C56" s="34"/>
      <c r="D56" s="177"/>
      <c r="E56" s="177"/>
      <c r="F56" s="177"/>
      <c r="G56" s="177"/>
      <c r="H56" s="177"/>
      <c r="I56" s="177"/>
      <c r="J56" s="177"/>
      <c r="K56" s="177"/>
      <c r="L56" s="177"/>
      <c r="M56" s="177"/>
      <c r="N56" s="34"/>
      <c r="O56" s="158"/>
      <c r="P56" s="158"/>
      <c r="Q56" s="158"/>
      <c r="R56" s="158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</row>
    <row r="57" spans="1:31" ht="15.75" hidden="1" thickBot="1" x14ac:dyDescent="0.3">
      <c r="A57" s="158"/>
      <c r="C57" s="34"/>
      <c r="D57" s="35" t="s">
        <v>18</v>
      </c>
      <c r="E57" s="36"/>
      <c r="F57" s="36"/>
      <c r="G57" s="36"/>
      <c r="H57" s="36"/>
      <c r="I57" s="35" t="s">
        <v>19</v>
      </c>
      <c r="J57" s="36"/>
      <c r="K57" s="36"/>
      <c r="L57" s="36"/>
      <c r="M57" s="37"/>
      <c r="N57" s="34"/>
      <c r="O57" s="158"/>
      <c r="P57" s="158"/>
      <c r="Q57" s="158"/>
      <c r="R57" s="158"/>
      <c r="S57" s="34"/>
      <c r="T57" s="60" t="s">
        <v>18</v>
      </c>
      <c r="U57" s="61"/>
      <c r="V57" s="61"/>
      <c r="W57" s="61"/>
      <c r="X57" s="61"/>
      <c r="Y57" s="60" t="s">
        <v>19</v>
      </c>
      <c r="Z57" s="61"/>
      <c r="AA57" s="61"/>
      <c r="AB57" s="61"/>
      <c r="AC57" s="62"/>
      <c r="AD57" s="34"/>
    </row>
    <row r="58" spans="1:31" hidden="1" x14ac:dyDescent="0.25">
      <c r="A58" s="158"/>
      <c r="C58" s="7" t="str">
        <f>logic!$L$4</f>
        <v>Длина</v>
      </c>
      <c r="D58" s="38" t="str">
        <f>logic!$K$4&amp;" H ["&amp;logic!$O$64&amp;"]"</f>
        <v>Высота H [mm]</v>
      </c>
      <c r="E58" s="39"/>
      <c r="F58" s="39"/>
      <c r="G58" s="39"/>
      <c r="H58" s="40"/>
      <c r="I58" s="38" t="str">
        <f>logic!$K$4&amp;" H ["&amp;logic!$O$64&amp;"]"</f>
        <v>Высота H [mm]</v>
      </c>
      <c r="J58" s="39"/>
      <c r="K58" s="39"/>
      <c r="L58" s="39"/>
      <c r="M58" s="40"/>
      <c r="N58" s="7" t="str">
        <f>logic!$L$4</f>
        <v>Длина</v>
      </c>
      <c r="O58" s="158"/>
      <c r="P58" s="158"/>
      <c r="Q58" s="158"/>
      <c r="R58" s="158"/>
      <c r="S58" s="7" t="str">
        <f>logic!$L$4</f>
        <v>Длина</v>
      </c>
      <c r="T58" s="63" t="str">
        <f>logic!$K$4&amp;" H [mm]"</f>
        <v>Высота H [mm]</v>
      </c>
      <c r="U58" s="64"/>
      <c r="V58" s="64"/>
      <c r="W58" s="64"/>
      <c r="X58" s="65"/>
      <c r="Y58" s="63" t="str">
        <f>logic!$K$4&amp;" H [mm]"</f>
        <v>Высота H [mm]</v>
      </c>
      <c r="Z58" s="64"/>
      <c r="AA58" s="64"/>
      <c r="AB58" s="64"/>
      <c r="AC58" s="65"/>
      <c r="AD58" s="7" t="str">
        <f>logic!$L$4</f>
        <v>Длина</v>
      </c>
    </row>
    <row r="59" spans="1:31" ht="15.75" hidden="1" thickBot="1" x14ac:dyDescent="0.3">
      <c r="A59" s="158"/>
      <c r="C59" s="8" t="str">
        <f>"L ["&amp;logic!$O$64&amp;"]"</f>
        <v>L [mm]</v>
      </c>
      <c r="D59" s="15">
        <f>IF(logic!$K$64=2,výkony!C60/logic!$M$64,výkony!C60)</f>
        <v>700</v>
      </c>
      <c r="E59" s="16">
        <f>IF(logic!$K$64=2,výkony!D60/logic!$M$64,výkony!D60)</f>
        <v>900</v>
      </c>
      <c r="F59" s="16">
        <f>IF(logic!$K$64=2,výkony!E60/logic!$M$64,výkony!E60)</f>
        <v>1220</v>
      </c>
      <c r="G59" s="16">
        <f>IF(logic!$K$64=2,výkony!F60/logic!$M$64,výkony!F60)</f>
        <v>1500</v>
      </c>
      <c r="H59" s="17">
        <f>IF(logic!$K$64=2,výkony!G60/logic!$M$64,výkony!G60)</f>
        <v>1820</v>
      </c>
      <c r="I59" s="15">
        <f>IF(logic!$K$64=2,výkony!H60/logic!$M$64,výkony!H60)</f>
        <v>700</v>
      </c>
      <c r="J59" s="16">
        <f>IF(logic!$K$64=2,výkony!I60/logic!$M$64,výkony!I60)</f>
        <v>900</v>
      </c>
      <c r="K59" s="16">
        <f>IF(logic!$K$64=2,výkony!J60/logic!$M$64,výkony!J60)</f>
        <v>1220</v>
      </c>
      <c r="L59" s="16">
        <f>IF(logic!$K$64=2,výkony!K60/logic!$M$64,výkony!K60)</f>
        <v>1500</v>
      </c>
      <c r="M59" s="17">
        <f>IF(logic!$K$64=2,výkony!L60/logic!$M$64,výkony!L60)</f>
        <v>1820</v>
      </c>
      <c r="N59" s="8" t="str">
        <f>"L ["&amp;logic!$O$64&amp;"]"</f>
        <v>L [mm]</v>
      </c>
      <c r="O59" s="158"/>
      <c r="P59" s="158"/>
      <c r="Q59" s="158"/>
      <c r="R59" s="158"/>
      <c r="S59" s="8" t="s">
        <v>201</v>
      </c>
      <c r="T59" s="95">
        <v>700</v>
      </c>
      <c r="U59" s="96">
        <v>900</v>
      </c>
      <c r="V59" s="96">
        <v>1220</v>
      </c>
      <c r="W59" s="96">
        <v>1500</v>
      </c>
      <c r="X59" s="97">
        <v>1820</v>
      </c>
      <c r="Y59" s="95">
        <v>700</v>
      </c>
      <c r="Z59" s="96">
        <v>900</v>
      </c>
      <c r="AA59" s="96">
        <v>1220</v>
      </c>
      <c r="AB59" s="96">
        <v>1500</v>
      </c>
      <c r="AC59" s="97">
        <v>1820</v>
      </c>
      <c r="AD59" s="8" t="s">
        <v>201</v>
      </c>
    </row>
    <row r="60" spans="1:31" hidden="1" x14ac:dyDescent="0.25">
      <c r="A60" s="158"/>
      <c r="B60">
        <f>IF(AND($K$5=logic!$I$4,$M$5=logic!$I$4),1,IF(AND(C60&gt;=$K$5,C60&lt;=$M$5),1,0))</f>
        <v>1</v>
      </c>
      <c r="C60" s="223">
        <f>IF(logic!$K$64=2,výkony!B61/logic!$M$64,výkony!B61)</f>
        <v>450</v>
      </c>
      <c r="D60" s="12">
        <f>IF(OR(D$12=0,$B60=0),0,IF(výkony!$D$8&lt;0.7,IF(logic!$A$50=1,výkony!C61,výkony!P61),IF(logic!$A$50=1,výkony!AD61,výkony!AI61)))</f>
        <v>287</v>
      </c>
      <c r="E60" s="13">
        <f>IF(OR(E$12=0,$B60=0),0,IF(výkony!$D$8&lt;0.7,IF(logic!$A$50=1,výkony!D61,výkony!Q61),IF(logic!$A$50=1,výkony!AE61,výkony!AJ61)))</f>
        <v>369</v>
      </c>
      <c r="F60" s="13">
        <f>IF(OR(F$12=0,$B60=0),0,IF(výkony!$D$8&lt;0.7,IF(logic!$A$50=1,výkony!E61,výkony!R61),IF(logic!$A$50=1,výkony!AF61,výkony!AK61)))</f>
        <v>504</v>
      </c>
      <c r="G60" s="13">
        <f>IF(OR(G$12=0,$B60=0),0,IF(výkony!$D$8&lt;0.7,IF(logic!$A$50=1,výkony!F61,výkony!S61),IF(logic!$A$50=1,výkony!AG61,výkony!AL61)))</f>
        <v>626</v>
      </c>
      <c r="H60" s="14">
        <f>IF(OR(H$12=0,$B60=0),0,IF(výkony!$D$8&lt;0.7,IF(logic!$A$50=1,výkony!G61,výkony!T61),IF(logic!$A$50=1,výkony!AH61,výkony!AM61)))</f>
        <v>772</v>
      </c>
      <c r="I60" s="12">
        <f>IF(OR(I$12=0,$B60=0),0,IF(výkony!$D$8&lt;0.7,IF(logic!$A$50=1,výkony!H61,výkony!U61),IF(logic!$A$50=1,výkony!AI61,výkony!AN61)))</f>
        <v>287</v>
      </c>
      <c r="J60" s="13">
        <f>IF(OR(J$12=0,$B60=0),0,IF(výkony!$D$8&lt;0.7,IF(logic!$A$50=1,výkony!I61,výkony!V61),IF(logic!$A$50=1,výkony!AJ61,výkony!AO61)))</f>
        <v>369</v>
      </c>
      <c r="K60" s="13">
        <f>IF(OR(K$12=0,$B60=0),0,IF(výkony!$D$8&lt;0.7,IF(logic!$A$50=1,výkony!J61,výkony!W61),IF(logic!$A$50=1,výkony!AK61,výkony!AP61)))</f>
        <v>504</v>
      </c>
      <c r="L60" s="13">
        <f>IF(OR(L$12=0,$B60=0),0,IF(výkony!$D$8&lt;0.7,IF(logic!$A$50=1,výkony!K61,výkony!X61),IF(logic!$A$50=1,výkony!AL61,výkony!AQ61)))</f>
        <v>626</v>
      </c>
      <c r="M60" s="14">
        <f>IF(OR(M$12=0,$B60=0),0,IF(výkony!$D$8&lt;0.7,IF(logic!$A$50=1,výkony!L61,výkony!Y61),IF(logic!$A$50=1,výkony!AM61,výkony!AR61)))</f>
        <v>772</v>
      </c>
      <c r="N60" s="223">
        <f>C60</f>
        <v>450</v>
      </c>
      <c r="O60" s="158"/>
      <c r="P60" s="158"/>
      <c r="Q60" s="158"/>
      <c r="R60" s="158"/>
      <c r="S60" s="92">
        <v>445</v>
      </c>
      <c r="T60" s="110" t="str">
        <f>"KRT-"&amp;IF(LEN(T$59)=3,"0"&amp;T$59/10,T$59/10)&amp;"0"&amp;ROUND($S60/10,0)&amp;"-00-10"</f>
        <v>KRT-070045-00-10</v>
      </c>
      <c r="U60" s="111" t="str">
        <f t="shared" ref="U60:X60" si="21">"KRT-"&amp;IF(LEN(U$59)=3,"0"&amp;U$59/10,U$59/10)&amp;"0"&amp;ROUND($S60/10,0)&amp;"-00-10"</f>
        <v>KRT-090045-00-10</v>
      </c>
      <c r="V60" s="111" t="str">
        <f t="shared" si="21"/>
        <v>KRT-122045-00-10</v>
      </c>
      <c r="W60" s="111" t="str">
        <f t="shared" si="21"/>
        <v>KRT-150045-00-10</v>
      </c>
      <c r="X60" s="112" t="str">
        <f t="shared" si="21"/>
        <v>KRT-182045-00-10</v>
      </c>
      <c r="Y60" s="110" t="str">
        <f>"KRT-"&amp;IF(LEN(Y$59)=3,"0"&amp;Y$59/10,Y$59/10)&amp;"0"&amp;ROUND($S60/10,0)&amp;"-00M10"</f>
        <v>KRT-070045-00M10</v>
      </c>
      <c r="Z60" s="111" t="str">
        <f t="shared" ref="Z60:AC60" si="22">"KRT-"&amp;IF(LEN(Z$59)=3,"0"&amp;Z$59/10,Z$59/10)&amp;"0"&amp;ROUND($S60/10,0)&amp;"-00M10"</f>
        <v>KRT-090045-00M10</v>
      </c>
      <c r="AA60" s="111" t="str">
        <f t="shared" si="22"/>
        <v>KRT-122045-00M10</v>
      </c>
      <c r="AB60" s="111" t="str">
        <f t="shared" si="22"/>
        <v>KRT-150045-00M10</v>
      </c>
      <c r="AC60" s="112" t="str">
        <f t="shared" si="22"/>
        <v>KRT-182045-00M10</v>
      </c>
      <c r="AD60" s="92">
        <v>445</v>
      </c>
    </row>
    <row r="61" spans="1:31" hidden="1" x14ac:dyDescent="0.25">
      <c r="A61" s="158"/>
      <c r="B61">
        <f>IF(AND($K$5=logic!$I$4,$M$5=logic!$I$4),1,IF(AND(C61&gt;=$K$5,C61&lt;=$M$5),1,0))</f>
        <v>1</v>
      </c>
      <c r="C61" s="227">
        <f>IF(logic!$K$64=2,výkony!B62/logic!$M$64,výkony!B62)</f>
        <v>500</v>
      </c>
      <c r="D61" s="12">
        <f>IF(OR(D$12=0,$B61=0),0,IF(výkony!$D$8&lt;0.7,IF(logic!$A$50=1,výkony!C62,výkony!P62),IF(logic!$A$50=1,výkony!AD62,výkony!AI62)))</f>
        <v>315</v>
      </c>
      <c r="E61" s="13">
        <f>IF(OR(E$12=0,$B61=0),0,IF(výkony!$D$8&lt;0.7,IF(logic!$A$50=1,výkony!D62,výkony!Q62),IF(logic!$A$50=1,výkony!AE62,výkony!AJ62)))</f>
        <v>405</v>
      </c>
      <c r="F61" s="13">
        <f>IF(OR(F$12=0,$B61=0),0,IF(výkony!$D$8&lt;0.7,IF(logic!$A$50=1,výkony!E62,výkony!R62),IF(logic!$A$50=1,výkony!AF62,výkony!AK62)))</f>
        <v>553</v>
      </c>
      <c r="G61" s="13">
        <f>IF(OR(G$12=0,$B61=0),0,IF(výkony!$D$8&lt;0.7,IF(logic!$A$50=1,výkony!F62,výkony!S62),IF(logic!$A$50=1,výkony!AG62,výkony!AL62)))</f>
        <v>687</v>
      </c>
      <c r="H61" s="14">
        <f>IF(OR(H$12=0,$B61=0),0,IF(výkony!$D$8&lt;0.7,IF(logic!$A$50=1,výkony!G62,výkony!T62),IF(logic!$A$50=1,výkony!AH62,výkony!AM62)))</f>
        <v>848</v>
      </c>
      <c r="I61" s="12">
        <f>IF(OR(I$12=0,$B61=0),0,IF(výkony!$D$8&lt;0.7,IF(logic!$A$50=1,výkony!H62,výkony!U62),IF(logic!$A$50=1,výkony!AI62,výkony!AN62)))</f>
        <v>315</v>
      </c>
      <c r="J61" s="13">
        <f>IF(OR(J$12=0,$B61=0),0,IF(výkony!$D$8&lt;0.7,IF(logic!$A$50=1,výkony!I62,výkony!V62),IF(logic!$A$50=1,výkony!AJ62,výkony!AO62)))</f>
        <v>405</v>
      </c>
      <c r="K61" s="13">
        <f>IF(OR(K$12=0,$B61=0),0,IF(výkony!$D$8&lt;0.7,IF(logic!$A$50=1,výkony!J62,výkony!W62),IF(logic!$A$50=1,výkony!AK62,výkony!AP62)))</f>
        <v>553</v>
      </c>
      <c r="L61" s="13">
        <f>IF(OR(L$12=0,$B61=0),0,IF(výkony!$D$8&lt;0.7,IF(logic!$A$50=1,výkony!K62,výkony!X62),IF(logic!$A$50=1,výkony!AL62,výkony!AQ62)))</f>
        <v>687</v>
      </c>
      <c r="M61" s="14">
        <f>IF(OR(M$12=0,$B61=0),0,IF(výkony!$D$8&lt;0.7,IF(logic!$A$50=1,výkony!L62,výkony!Y62),IF(logic!$A$50=1,výkony!AM62,výkony!AR62)))</f>
        <v>848</v>
      </c>
      <c r="N61" s="227">
        <f t="shared" ref="N61:N63" si="23">C61</f>
        <v>500</v>
      </c>
      <c r="O61" s="158"/>
      <c r="P61" s="158"/>
      <c r="Q61" s="158"/>
      <c r="R61" s="158"/>
      <c r="S61" s="209">
        <v>495</v>
      </c>
      <c r="T61" s="110" t="str">
        <f t="shared" ref="T61:X63" si="24">"KRT-"&amp;IF(LEN(T$59)=3,"0"&amp;T$59/10,T$59/10)&amp;"0"&amp;ROUND($S61/10,0)&amp;"-00-10"</f>
        <v>KRT-070050-00-10</v>
      </c>
      <c r="U61" s="111" t="str">
        <f t="shared" si="24"/>
        <v>KRT-090050-00-10</v>
      </c>
      <c r="V61" s="111" t="str">
        <f t="shared" si="24"/>
        <v>KRT-122050-00-10</v>
      </c>
      <c r="W61" s="111" t="str">
        <f t="shared" si="24"/>
        <v>KRT-150050-00-10</v>
      </c>
      <c r="X61" s="112" t="str">
        <f t="shared" si="24"/>
        <v>KRT-182050-00-10</v>
      </c>
      <c r="Y61" s="110" t="str">
        <f t="shared" ref="Y61:AC63" si="25">"KRT-"&amp;IF(LEN(Y$59)=3,"0"&amp;Y$59/10,Y$59/10)&amp;"0"&amp;ROUND($S61/10,0)&amp;"-00M10"</f>
        <v>KRT-070050-00M10</v>
      </c>
      <c r="Z61" s="111" t="str">
        <f t="shared" si="25"/>
        <v>KRT-090050-00M10</v>
      </c>
      <c r="AA61" s="111" t="str">
        <f t="shared" si="25"/>
        <v>KRT-122050-00M10</v>
      </c>
      <c r="AB61" s="111" t="str">
        <f t="shared" si="25"/>
        <v>KRT-150050-00M10</v>
      </c>
      <c r="AC61" s="112" t="str">
        <f t="shared" si="25"/>
        <v>KRT-182050-00M10</v>
      </c>
      <c r="AD61" s="209">
        <v>495</v>
      </c>
    </row>
    <row r="62" spans="1:31" hidden="1" x14ac:dyDescent="0.25">
      <c r="A62" s="158"/>
      <c r="B62">
        <f>IF(AND($K$5=logic!$I$4,$M$5=logic!$I$4),1,IF(AND(C62&gt;=$K$5,C62&lt;=$M$5),1,0))</f>
        <v>1</v>
      </c>
      <c r="C62" s="224">
        <f>IF(logic!$K$64=2,výkony!B63/logic!$M$64,výkony!B63)</f>
        <v>600</v>
      </c>
      <c r="D62" s="2">
        <f>IF(OR(D$12=0,$B62=0),0,IF(výkony!$D$8&lt;0.7,IF(logic!$A$50=1,výkony!C63,výkony!P63),IF(logic!$A$50=1,výkony!AD63,výkony!AI63)))</f>
        <v>370</v>
      </c>
      <c r="E62" s="1">
        <f>IF(OR(E$12=0,$B62=0),0,IF(výkony!$D$8&lt;0.7,IF(logic!$A$50=1,výkony!D63,výkony!Q63),IF(logic!$A$50=1,výkony!AE63,výkony!AJ63)))</f>
        <v>475</v>
      </c>
      <c r="F62" s="1">
        <f>IF(OR(F$12=0,$B62=0),0,IF(výkony!$D$8&lt;0.7,IF(logic!$A$50=1,výkony!E63,výkony!R63),IF(logic!$A$50=1,výkony!AF63,výkony!AK63)))</f>
        <v>650</v>
      </c>
      <c r="G62" s="1">
        <f>IF(OR(G$12=0,$B62=0),0,IF(výkony!$D$8&lt;0.7,IF(logic!$A$50=1,výkony!F63,výkony!S63),IF(logic!$A$50=1,výkony!AG63,výkony!AL63)))</f>
        <v>808</v>
      </c>
      <c r="H62" s="3">
        <f>IF(OR(H$12=0,$B62=0),0,IF(výkony!$D$8&lt;0.7,IF(logic!$A$50=1,výkony!G63,výkony!T63),IF(logic!$A$50=1,výkony!AH63,výkony!AM63)))</f>
        <v>996</v>
      </c>
      <c r="I62" s="2">
        <f>IF(OR(I$12=0,$B62=0),0,IF(výkony!$D$8&lt;0.7,IF(logic!$A$50=1,výkony!H63,výkony!U63),IF(logic!$A$50=1,výkony!AI63,výkony!AN63)))</f>
        <v>370</v>
      </c>
      <c r="J62" s="1">
        <f>IF(OR(J$12=0,$B62=0),0,IF(výkony!$D$8&lt;0.7,IF(logic!$A$50=1,výkony!I63,výkony!V63),IF(logic!$A$50=1,výkony!AJ63,výkony!AO63)))</f>
        <v>475</v>
      </c>
      <c r="K62" s="1">
        <f>IF(OR(K$12=0,$B62=0),0,IF(výkony!$D$8&lt;0.7,IF(logic!$A$50=1,výkony!J63,výkony!W63),IF(logic!$A$50=1,výkony!AK63,výkony!AP63)))</f>
        <v>650</v>
      </c>
      <c r="L62" s="1">
        <f>IF(OR(L$12=0,$B62=0),0,IF(výkony!$D$8&lt;0.7,IF(logic!$A$50=1,výkony!K63,výkony!X63),IF(logic!$A$50=1,výkony!AL63,výkony!AQ63)))</f>
        <v>808</v>
      </c>
      <c r="M62" s="3">
        <f>IF(OR(M$12=0,$B62=0),0,IF(výkony!$D$8&lt;0.7,IF(logic!$A$50=1,výkony!L63,výkony!Y63),IF(logic!$A$50=1,výkony!AM63,výkony!AR63)))</f>
        <v>996</v>
      </c>
      <c r="N62" s="224">
        <f t="shared" si="23"/>
        <v>600</v>
      </c>
      <c r="O62" s="158"/>
      <c r="P62" s="158"/>
      <c r="Q62" s="158"/>
      <c r="R62" s="158"/>
      <c r="S62" s="93">
        <v>595</v>
      </c>
      <c r="T62" s="104" t="str">
        <f t="shared" si="24"/>
        <v>KRT-070060-00-10</v>
      </c>
      <c r="U62" s="105" t="str">
        <f t="shared" si="24"/>
        <v>KRT-090060-00-10</v>
      </c>
      <c r="V62" s="105" t="str">
        <f t="shared" si="24"/>
        <v>KRT-122060-00-10</v>
      </c>
      <c r="W62" s="105" t="str">
        <f t="shared" si="24"/>
        <v>KRT-150060-00-10</v>
      </c>
      <c r="X62" s="106" t="str">
        <f t="shared" si="24"/>
        <v>KRT-182060-00-10</v>
      </c>
      <c r="Y62" s="104" t="str">
        <f t="shared" si="25"/>
        <v>KRT-070060-00M10</v>
      </c>
      <c r="Z62" s="105" t="str">
        <f t="shared" si="25"/>
        <v>KRT-090060-00M10</v>
      </c>
      <c r="AA62" s="105" t="str">
        <f t="shared" si="25"/>
        <v>KRT-122060-00M10</v>
      </c>
      <c r="AB62" s="105" t="str">
        <f t="shared" si="25"/>
        <v>KRT-150060-00M10</v>
      </c>
      <c r="AC62" s="106" t="str">
        <f t="shared" si="25"/>
        <v>KRT-182060-00M10</v>
      </c>
      <c r="AD62" s="93">
        <v>595</v>
      </c>
    </row>
    <row r="63" spans="1:31" ht="15.75" hidden="1" thickBot="1" x14ac:dyDescent="0.3">
      <c r="A63" s="158"/>
      <c r="B63">
        <f>IF(AND($K$5=logic!$I$4,$M$5=logic!$I$4),1,IF(AND(C63&gt;=$K$5,C63&lt;=$M$5),1,0))</f>
        <v>1</v>
      </c>
      <c r="C63" s="225">
        <f>IF(logic!$K$64=2,výkony!B64/logic!$M$64,výkony!B64)</f>
        <v>750</v>
      </c>
      <c r="D63" s="4">
        <f>IF(OR(D$12=0,$B63=0),0,IF(výkony!$D$8&lt;0.7,IF(logic!$A$50=1,výkony!C64,výkony!P64),IF(logic!$A$50=1,výkony!AD64,výkony!AI64)))</f>
        <v>450</v>
      </c>
      <c r="E63" s="5">
        <f>IF(OR(E$12=0,$B63=0),0,IF(výkony!$D$8&lt;0.7,IF(logic!$A$50=1,výkony!D64,výkony!Q64),IF(logic!$A$50=1,výkony!AE64,výkony!AJ64)))</f>
        <v>579</v>
      </c>
      <c r="F63" s="5">
        <f>IF(OR(F$12=0,$B63=0),0,IF(výkony!$D$8&lt;0.7,IF(logic!$A$50=1,výkony!E64,výkony!R64),IF(logic!$A$50=1,výkony!AF64,výkony!AK64)))</f>
        <v>791</v>
      </c>
      <c r="G63" s="5">
        <f>IF(OR(G$12=0,$B63=0),0,IF(výkony!$D$8&lt;0.7,IF(logic!$A$50=1,výkony!F64,výkony!S64),IF(logic!$A$50=1,výkony!AG64,výkony!AL64)))</f>
        <v>984</v>
      </c>
      <c r="H63" s="6">
        <f>IF(OR(H$12=0,$B63=0),0,IF(výkony!$D$8&lt;0.7,IF(logic!$A$50=1,výkony!G64,výkony!T64),IF(logic!$A$50=1,výkony!AH64,výkony!AM64)))</f>
        <v>1213</v>
      </c>
      <c r="I63" s="4">
        <f>IF(OR(I$12=0,$B63=0),0,IF(výkony!$D$8&lt;0.7,IF(logic!$A$50=1,výkony!H64,výkony!U64),IF(logic!$A$50=1,výkony!AI64,výkony!AN64)))</f>
        <v>450</v>
      </c>
      <c r="J63" s="5">
        <f>IF(OR(J$12=0,$B63=0),0,IF(výkony!$D$8&lt;0.7,IF(logic!$A$50=1,výkony!I64,výkony!V64),IF(logic!$A$50=1,výkony!AJ64,výkony!AO64)))</f>
        <v>579</v>
      </c>
      <c r="K63" s="5">
        <f>IF(OR(K$12=0,$B63=0),0,IF(výkony!$D$8&lt;0.7,IF(logic!$A$50=1,výkony!J64,výkony!W64),IF(logic!$A$50=1,výkony!AK64,výkony!AP64)))</f>
        <v>791</v>
      </c>
      <c r="L63" s="5">
        <f>IF(OR(L$12=0,$B63=0),0,IF(výkony!$D$8&lt;0.7,IF(logic!$A$50=1,výkony!K64,výkony!X64),IF(logic!$A$50=1,výkony!AL64,výkony!AQ64)))</f>
        <v>984</v>
      </c>
      <c r="M63" s="6">
        <f>IF(OR(M$12=0,$B63=0),0,IF(výkony!$D$8&lt;0.7,IF(logic!$A$50=1,výkony!L64,výkony!Y64),IF(logic!$A$50=1,výkony!AM64,výkony!AR64)))</f>
        <v>1213</v>
      </c>
      <c r="N63" s="225">
        <f t="shared" si="23"/>
        <v>750</v>
      </c>
      <c r="O63" s="158"/>
      <c r="P63" s="158"/>
      <c r="Q63" s="158"/>
      <c r="R63" s="158"/>
      <c r="S63" s="94">
        <v>745</v>
      </c>
      <c r="T63" s="107" t="str">
        <f t="shared" si="24"/>
        <v>KRT-070075-00-10</v>
      </c>
      <c r="U63" s="108" t="str">
        <f t="shared" si="24"/>
        <v>KRT-090075-00-10</v>
      </c>
      <c r="V63" s="108" t="str">
        <f t="shared" si="24"/>
        <v>KRT-122075-00-10</v>
      </c>
      <c r="W63" s="108" t="str">
        <f t="shared" si="24"/>
        <v>KRT-150075-00-10</v>
      </c>
      <c r="X63" s="109" t="str">
        <f t="shared" si="24"/>
        <v>KRT-182075-00-10</v>
      </c>
      <c r="Y63" s="107" t="str">
        <f t="shared" si="25"/>
        <v>KRT-070075-00M10</v>
      </c>
      <c r="Z63" s="108" t="str">
        <f t="shared" si="25"/>
        <v>KRT-090075-00M10</v>
      </c>
      <c r="AA63" s="108" t="str">
        <f t="shared" si="25"/>
        <v>KRT-122075-00M10</v>
      </c>
      <c r="AB63" s="108" t="str">
        <f t="shared" si="25"/>
        <v>KRT-150075-00M10</v>
      </c>
      <c r="AC63" s="109" t="str">
        <f t="shared" si="25"/>
        <v>KRT-182075-00M10</v>
      </c>
      <c r="AD63" s="94">
        <v>745</v>
      </c>
    </row>
    <row r="64" spans="1:31" ht="15.75" hidden="1" thickBot="1" x14ac:dyDescent="0.3">
      <c r="A64" s="158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158"/>
      <c r="P64" s="158"/>
      <c r="Q64" s="158"/>
      <c r="R64" s="158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</row>
    <row r="65" spans="1:30" ht="15.75" hidden="1" thickBot="1" x14ac:dyDescent="0.3">
      <c r="A65" s="158"/>
      <c r="C65" s="34"/>
      <c r="D65" s="35" t="s">
        <v>14</v>
      </c>
      <c r="E65" s="36"/>
      <c r="F65" s="36"/>
      <c r="G65" s="36"/>
      <c r="H65" s="36"/>
      <c r="I65" s="35" t="s">
        <v>15</v>
      </c>
      <c r="J65" s="36"/>
      <c r="K65" s="36"/>
      <c r="L65" s="36"/>
      <c r="M65" s="37"/>
      <c r="N65" s="34"/>
      <c r="O65" s="158"/>
      <c r="P65" s="158"/>
      <c r="Q65" s="158"/>
      <c r="R65" s="158"/>
      <c r="S65" s="34"/>
      <c r="T65" s="60" t="s">
        <v>14</v>
      </c>
      <c r="U65" s="61"/>
      <c r="V65" s="61"/>
      <c r="W65" s="61"/>
      <c r="X65" s="61"/>
      <c r="Y65" s="60" t="s">
        <v>15</v>
      </c>
      <c r="Z65" s="61"/>
      <c r="AA65" s="61"/>
      <c r="AB65" s="61"/>
      <c r="AC65" s="62"/>
      <c r="AD65" s="34"/>
    </row>
    <row r="66" spans="1:30" hidden="1" x14ac:dyDescent="0.25">
      <c r="A66" s="158"/>
      <c r="C66" s="7" t="str">
        <f>logic!$L$4</f>
        <v>Длина</v>
      </c>
      <c r="D66" s="38" t="str">
        <f>logic!$K$4&amp;" H ["&amp;logic!$O$64&amp;"]"</f>
        <v>Высота H [mm]</v>
      </c>
      <c r="E66" s="39"/>
      <c r="F66" s="39"/>
      <c r="G66" s="39"/>
      <c r="H66" s="40"/>
      <c r="I66" s="38" t="str">
        <f>logic!$K$4&amp;" H ["&amp;logic!$O$64&amp;"]"</f>
        <v>Высота H [mm]</v>
      </c>
      <c r="J66" s="39"/>
      <c r="K66" s="39"/>
      <c r="L66" s="39"/>
      <c r="M66" s="40"/>
      <c r="N66" s="7" t="str">
        <f>logic!$L$4</f>
        <v>Длина</v>
      </c>
      <c r="O66" s="158"/>
      <c r="P66" s="158"/>
      <c r="Q66" s="158"/>
      <c r="R66" s="158"/>
      <c r="S66" s="7" t="str">
        <f>logic!$L$4</f>
        <v>Длина</v>
      </c>
      <c r="T66" s="63" t="str">
        <f>logic!$K$4&amp;" H [mm]"</f>
        <v>Высота H [mm]</v>
      </c>
      <c r="U66" s="64"/>
      <c r="V66" s="64"/>
      <c r="W66" s="64"/>
      <c r="X66" s="65"/>
      <c r="Y66" s="63" t="str">
        <f>logic!$K$4&amp;" H [mm]"</f>
        <v>Высота H [mm]</v>
      </c>
      <c r="Z66" s="64"/>
      <c r="AA66" s="64"/>
      <c r="AB66" s="64"/>
      <c r="AC66" s="65"/>
      <c r="AD66" s="7" t="str">
        <f>logic!$L$4</f>
        <v>Длина</v>
      </c>
    </row>
    <row r="67" spans="1:30" ht="15.75" hidden="1" thickBot="1" x14ac:dyDescent="0.3">
      <c r="A67" s="158"/>
      <c r="C67" s="8" t="str">
        <f>"L ["&amp;logic!$O$64&amp;"]"</f>
        <v>L [mm]</v>
      </c>
      <c r="D67" s="15">
        <f>IF(logic!$K$64=2,výkony!C68/logic!$M$64,výkony!C68)</f>
        <v>700</v>
      </c>
      <c r="E67" s="16">
        <f>IF(logic!$K$64=2,výkony!D68/logic!$M$64,výkony!D68)</f>
        <v>900</v>
      </c>
      <c r="F67" s="16">
        <f>IF(logic!$K$64=2,výkony!E68/logic!$M$64,výkony!E68)</f>
        <v>1220</v>
      </c>
      <c r="G67" s="16">
        <f>IF(logic!$K$64=2,výkony!F68/logic!$M$64,výkony!F68)</f>
        <v>1500</v>
      </c>
      <c r="H67" s="17">
        <f>IF(logic!$K$64=2,výkony!G68/logic!$M$64,výkony!G68)</f>
        <v>1820</v>
      </c>
      <c r="I67" s="15">
        <f>IF(logic!$K$64=2,výkony!H68/logic!$M$64,výkony!H68)</f>
        <v>700</v>
      </c>
      <c r="J67" s="16">
        <f>IF(logic!$K$64=2,výkony!I68/logic!$M$64,výkony!I68)</f>
        <v>900</v>
      </c>
      <c r="K67" s="16">
        <f>IF(logic!$K$64=2,výkony!J68/logic!$M$64,výkony!J68)</f>
        <v>1220</v>
      </c>
      <c r="L67" s="16">
        <f>IF(logic!$K$64=2,výkony!K68/logic!$M$64,výkony!K68)</f>
        <v>1500</v>
      </c>
      <c r="M67" s="17">
        <f>IF(logic!$K$64=2,výkony!L68/logic!$M$64,výkony!L68)</f>
        <v>1820</v>
      </c>
      <c r="N67" s="8" t="str">
        <f>"L ["&amp;logic!$O$64&amp;"]"</f>
        <v>L [mm]</v>
      </c>
      <c r="O67" s="158"/>
      <c r="P67" s="158"/>
      <c r="Q67" s="158"/>
      <c r="R67" s="158"/>
      <c r="S67" s="8" t="s">
        <v>201</v>
      </c>
      <c r="T67" s="95">
        <v>700</v>
      </c>
      <c r="U67" s="96">
        <v>900</v>
      </c>
      <c r="V67" s="96">
        <v>1220</v>
      </c>
      <c r="W67" s="96">
        <v>1500</v>
      </c>
      <c r="X67" s="97">
        <v>1820</v>
      </c>
      <c r="Y67" s="95">
        <v>700</v>
      </c>
      <c r="Z67" s="96">
        <v>900</v>
      </c>
      <c r="AA67" s="96">
        <v>1220</v>
      </c>
      <c r="AB67" s="96">
        <v>1500</v>
      </c>
      <c r="AC67" s="97">
        <v>1820</v>
      </c>
      <c r="AD67" s="8" t="s">
        <v>201</v>
      </c>
    </row>
    <row r="68" spans="1:30" hidden="1" x14ac:dyDescent="0.25">
      <c r="A68" s="158"/>
      <c r="B68">
        <f>IF(AND($K$5=logic!$I$4,$M$5=logic!$I$4),1,IF(AND(C68&gt;=$K$5,C68&lt;=$M$5),1,0))</f>
        <v>1</v>
      </c>
      <c r="C68" s="223">
        <f>IF(logic!$K$64=2,výkony!B69/logic!$M$64,výkony!B69)</f>
        <v>450</v>
      </c>
      <c r="D68" s="12">
        <f>IF(OR(D$12=0,$B68=0),0,IF(výkony!$D$8&lt;0.7,IF(logic!$A$50=1,výkony!C69,výkony!P69),IF(logic!$A$50=1,výkony!AD69,výkony!AI69)))</f>
        <v>255</v>
      </c>
      <c r="E68" s="13">
        <f>IF(OR(E$12=0,$B68=0),0,IF(výkony!$D$8&lt;0.7,IF(logic!$A$50=1,výkony!D69,výkony!Q69),IF(logic!$A$50=1,výkony!AE69,výkony!AJ69)))</f>
        <v>333</v>
      </c>
      <c r="F68" s="13">
        <f>IF(OR(F$12=0,$B68=0),0,IF(výkony!$D$8&lt;0.7,IF(logic!$A$50=1,výkony!E69,výkony!R69),IF(logic!$A$50=1,výkony!AF69,výkony!AK69)))</f>
        <v>462</v>
      </c>
      <c r="G68" s="13">
        <f>IF(OR(G$12=0,$B68=0),0,IF(výkony!$D$8&lt;0.7,IF(logic!$A$50=1,výkony!F69,výkony!S69),IF(logic!$A$50=1,výkony!AG69,výkony!AL69)))</f>
        <v>581</v>
      </c>
      <c r="H68" s="14">
        <f>IF(OR(H$12=0,$B68=0),0,IF(výkony!$D$8&lt;0.7,IF(logic!$A$50=1,výkony!G69,výkony!T69),IF(logic!$A$50=1,výkony!AH69,výkony!AM69)))</f>
        <v>725</v>
      </c>
      <c r="I68" s="12">
        <f>IF(OR(I$12=0,$B68=0),0,IF(výkony!$D$8&lt;0.7,IF(logic!$A$50=1,výkony!H69,výkony!U69),IF(logic!$A$50=1,výkony!AI69,výkony!AN69)))</f>
        <v>255</v>
      </c>
      <c r="J68" s="13">
        <f>IF(OR(J$12=0,$B68=0),0,IF(výkony!$D$8&lt;0.7,IF(logic!$A$50=1,výkony!I69,výkony!V69),IF(logic!$A$50=1,výkony!AJ69,výkony!AO69)))</f>
        <v>333</v>
      </c>
      <c r="K68" s="13">
        <f>IF(OR(K$12=0,$B68=0),0,IF(výkony!$D$8&lt;0.7,IF(logic!$A$50=1,výkony!J69,výkony!W69),IF(logic!$A$50=1,výkony!AK69,výkony!AP69)))</f>
        <v>462</v>
      </c>
      <c r="L68" s="13">
        <f>IF(OR(L$12=0,$B68=0),0,IF(výkony!$D$8&lt;0.7,IF(logic!$A$50=1,výkony!K69,výkony!X69),IF(logic!$A$50=1,výkony!AL69,výkony!AQ69)))</f>
        <v>581</v>
      </c>
      <c r="M68" s="14">
        <f>IF(OR(M$12=0,$B68=0),0,IF(výkony!$D$8&lt;0.7,IF(logic!$A$50=1,výkony!L69,výkony!Y69),IF(logic!$A$50=1,výkony!AM69,výkony!AR69)))</f>
        <v>725</v>
      </c>
      <c r="N68" s="223">
        <f>C68</f>
        <v>450</v>
      </c>
      <c r="O68" s="158"/>
      <c r="P68" s="158"/>
      <c r="Q68" s="158"/>
      <c r="R68" s="158"/>
      <c r="S68" s="92">
        <v>445</v>
      </c>
      <c r="T68" s="110" t="str">
        <f>"KRC-"&amp;IF(LEN(T$67)=3,"0"&amp;T$67/10,T$67/10)&amp;"0"&amp;ROUND($S68/10,0)&amp;"-00-10"</f>
        <v>KRC-070045-00-10</v>
      </c>
      <c r="U68" s="111" t="str">
        <f t="shared" ref="U68:X68" si="26">"KRC-"&amp;IF(LEN(U$67)=3,"0"&amp;U$67/10,U$67/10)&amp;"0"&amp;ROUND($S68/10,0)&amp;"-00-10"</f>
        <v>KRC-090045-00-10</v>
      </c>
      <c r="V68" s="111" t="str">
        <f t="shared" si="26"/>
        <v>KRC-122045-00-10</v>
      </c>
      <c r="W68" s="111" t="str">
        <f t="shared" si="26"/>
        <v>KRC-150045-00-10</v>
      </c>
      <c r="X68" s="112" t="str">
        <f t="shared" si="26"/>
        <v>KRC-182045-00-10</v>
      </c>
      <c r="Y68" s="110" t="str">
        <f>"KRC-"&amp;IF(LEN(Y$67)=3,"0"&amp;Y$67/10,Y$67/10)&amp;"0"&amp;ROUND($S68/10,0)&amp;"-00M10"</f>
        <v>KRC-070045-00M10</v>
      </c>
      <c r="Z68" s="110" t="str">
        <f t="shared" ref="Z68:AC68" si="27">"KRC-"&amp;IF(LEN(Z$67)=3,"0"&amp;Z$67/10,Z$67/10)&amp;"0"&amp;ROUND($S68/10,0)&amp;"-00M10"</f>
        <v>KRC-090045-00M10</v>
      </c>
      <c r="AA68" s="110" t="str">
        <f t="shared" si="27"/>
        <v>KRC-122045-00M10</v>
      </c>
      <c r="AB68" s="110" t="str">
        <f t="shared" si="27"/>
        <v>KRC-150045-00M10</v>
      </c>
      <c r="AC68" s="110" t="str">
        <f t="shared" si="27"/>
        <v>KRC-182045-00M10</v>
      </c>
      <c r="AD68" s="92">
        <v>445</v>
      </c>
    </row>
    <row r="69" spans="1:30" hidden="1" x14ac:dyDescent="0.25">
      <c r="A69" s="158"/>
      <c r="B69">
        <v>1</v>
      </c>
      <c r="C69" s="227">
        <f>IF(logic!$K$64=2,výkony!B70/logic!$M$64,výkony!B70)</f>
        <v>500</v>
      </c>
      <c r="D69" s="12">
        <f>IF(OR(D$12=0,$B69=0),0,IF(výkony!$D$8&lt;0.7,IF(logic!$A$50=1,výkony!C70,výkony!P70),IF(logic!$A$50=1,výkony!AD70,výkony!AI70)))</f>
        <v>280</v>
      </c>
      <c r="E69" s="13">
        <f>IF(OR(E$12=0,$B69=0),0,IF(výkony!$D$8&lt;0.7,IF(logic!$A$50=1,výkony!D70,výkony!Q70),IF(logic!$A$50=1,výkony!AE70,výkony!AJ70)))</f>
        <v>365</v>
      </c>
      <c r="F69" s="13">
        <f>IF(OR(F$12=0,$B69=0),0,IF(výkony!$D$8&lt;0.7,IF(logic!$A$50=1,výkony!E70,výkony!R70),IF(logic!$A$50=1,výkony!AF70,výkony!AK70)))</f>
        <v>507</v>
      </c>
      <c r="G69" s="13">
        <f>IF(OR(G$12=0,$B69=0),0,IF(výkony!$D$8&lt;0.7,IF(logic!$A$50=1,výkony!F70,výkony!S70),IF(logic!$A$50=1,výkony!AG70,výkony!AL70)))</f>
        <v>638</v>
      </c>
      <c r="H69" s="14">
        <f>IF(OR(H$12=0,$B69=0),0,IF(výkony!$D$8&lt;0.7,IF(logic!$A$50=1,výkony!G70,výkony!T70),IF(logic!$A$50=1,výkony!AH70,výkony!AM70)))</f>
        <v>795</v>
      </c>
      <c r="I69" s="12">
        <f>IF(OR(I$12=0,$B69=0),0,IF(výkony!$D$8&lt;0.7,IF(logic!$A$50=1,výkony!H70,výkony!U70),IF(logic!$A$50=1,výkony!AI70,výkony!AN70)))</f>
        <v>280</v>
      </c>
      <c r="J69" s="13">
        <f>IF(OR(J$12=0,$B69=0),0,IF(výkony!$D$8&lt;0.7,IF(logic!$A$50=1,výkony!I70,výkony!V70),IF(logic!$A$50=1,výkony!AJ70,výkony!AO70)))</f>
        <v>365</v>
      </c>
      <c r="K69" s="13">
        <f>IF(OR(K$12=0,$B69=0),0,IF(výkony!$D$8&lt;0.7,IF(logic!$A$50=1,výkony!J70,výkony!W70),IF(logic!$A$50=1,výkony!AK70,výkony!AP70)))</f>
        <v>507</v>
      </c>
      <c r="L69" s="13">
        <f>IF(OR(L$12=0,$B69=0),0,IF(výkony!$D$8&lt;0.7,IF(logic!$A$50=1,výkony!K70,výkony!X70),IF(logic!$A$50=1,výkony!AL70,výkony!AQ70)))</f>
        <v>638</v>
      </c>
      <c r="M69" s="14">
        <f>IF(OR(M$12=0,$B69=0),0,IF(výkony!$D$8&lt;0.7,IF(logic!$A$50=1,výkony!L70,výkony!Y70),IF(logic!$A$50=1,výkony!AM70,výkony!AR70)))</f>
        <v>795</v>
      </c>
      <c r="N69" s="227">
        <f t="shared" ref="N69:N71" si="28">C69</f>
        <v>500</v>
      </c>
      <c r="O69" s="158"/>
      <c r="P69" s="158"/>
      <c r="Q69" s="158"/>
      <c r="R69" s="158"/>
      <c r="S69" s="209">
        <v>495</v>
      </c>
      <c r="T69" s="110" t="str">
        <f t="shared" ref="T69:X71" si="29">"KRC-"&amp;IF(LEN(T$67)=3,"0"&amp;T$67/10,T$67/10)&amp;"0"&amp;ROUND($S69/10,0)&amp;"-00-10"</f>
        <v>KRC-070050-00-10</v>
      </c>
      <c r="U69" s="111" t="str">
        <f t="shared" si="29"/>
        <v>KRC-090050-00-10</v>
      </c>
      <c r="V69" s="111" t="str">
        <f t="shared" si="29"/>
        <v>KRC-122050-00-10</v>
      </c>
      <c r="W69" s="111" t="str">
        <f t="shared" si="29"/>
        <v>KRC-150050-00-10</v>
      </c>
      <c r="X69" s="112" t="str">
        <f t="shared" si="29"/>
        <v>KRC-182050-00-10</v>
      </c>
      <c r="Y69" s="110" t="str">
        <f t="shared" ref="Y69:AC71" si="30">"KRC-"&amp;IF(LEN(Y$67)=3,"0"&amp;Y$67/10,Y$67/10)&amp;"0"&amp;ROUND($S69/10,0)&amp;"-00M10"</f>
        <v>KRC-070050-00M10</v>
      </c>
      <c r="Z69" s="110" t="str">
        <f t="shared" si="30"/>
        <v>KRC-090050-00M10</v>
      </c>
      <c r="AA69" s="110" t="str">
        <f t="shared" si="30"/>
        <v>KRC-122050-00M10</v>
      </c>
      <c r="AB69" s="110" t="str">
        <f t="shared" si="30"/>
        <v>KRC-150050-00M10</v>
      </c>
      <c r="AC69" s="110" t="str">
        <f t="shared" si="30"/>
        <v>KRC-182050-00M10</v>
      </c>
      <c r="AD69" s="209">
        <v>495</v>
      </c>
    </row>
    <row r="70" spans="1:30" hidden="1" x14ac:dyDescent="0.25">
      <c r="A70" s="158"/>
      <c r="B70">
        <f>IF(AND($K$5=logic!$I$4,$M$5=logic!$I$4),1,IF(AND(C70&gt;=$K$5,C70&lt;=$M$5),1,0))</f>
        <v>1</v>
      </c>
      <c r="C70" s="224">
        <f>IF(logic!$K$64=2,výkony!B71/logic!$M$64,výkony!B71)</f>
        <v>600</v>
      </c>
      <c r="D70" s="2">
        <f>IF(OR(D$12=0,$B70=0),0,IF(výkony!$D$8&lt;0.7,IF(logic!$A$50=1,výkony!C71,výkony!P71),IF(logic!$A$50=1,výkony!AD71,výkony!AI71)))</f>
        <v>329</v>
      </c>
      <c r="E70" s="1">
        <f>IF(OR(E$12=0,$B70=0),0,IF(výkony!$D$8&lt;0.7,IF(logic!$A$50=1,výkony!D71,výkony!Q71),IF(logic!$A$50=1,výkony!AE71,výkony!AJ71)))</f>
        <v>429</v>
      </c>
      <c r="F70" s="1">
        <f>IF(OR(F$12=0,$B70=0),0,IF(výkony!$D$8&lt;0.7,IF(logic!$A$50=1,výkony!E71,výkony!R71),IF(logic!$A$50=1,výkony!AF71,výkony!AK71)))</f>
        <v>596</v>
      </c>
      <c r="G70" s="1">
        <f>IF(OR(G$12=0,$B70=0),0,IF(výkony!$D$8&lt;0.7,IF(logic!$A$50=1,výkony!F71,výkony!S71),IF(logic!$A$50=1,výkony!AG71,výkony!AL71)))</f>
        <v>750</v>
      </c>
      <c r="H70" s="3">
        <f>IF(OR(H$12=0,$B70=0),0,IF(výkony!$D$8&lt;0.7,IF(logic!$A$50=1,výkony!G71,výkony!T71),IF(logic!$A$50=1,výkony!AH71,výkony!AM71)))</f>
        <v>934</v>
      </c>
      <c r="I70" s="2">
        <f>IF(OR(I$12=0,$B70=0),0,IF(výkony!$D$8&lt;0.7,IF(logic!$A$50=1,výkony!H71,výkony!U71),IF(logic!$A$50=1,výkony!AI71,výkony!AN71)))</f>
        <v>329</v>
      </c>
      <c r="J70" s="1">
        <f>IF(OR(J$12=0,$B70=0),0,IF(výkony!$D$8&lt;0.7,IF(logic!$A$50=1,výkony!I71,výkony!V71),IF(logic!$A$50=1,výkony!AJ71,výkony!AO71)))</f>
        <v>429</v>
      </c>
      <c r="K70" s="1">
        <f>IF(OR(K$12=0,$B70=0),0,IF(výkony!$D$8&lt;0.7,IF(logic!$A$50=1,výkony!J71,výkony!W71),IF(logic!$A$50=1,výkony!AK71,výkony!AP71)))</f>
        <v>596</v>
      </c>
      <c r="L70" s="1">
        <f>IF(OR(L$12=0,$B70=0),0,IF(výkony!$D$8&lt;0.7,IF(logic!$A$50=1,výkony!K71,výkony!X71),IF(logic!$A$50=1,výkony!AL71,výkony!AQ71)))</f>
        <v>750</v>
      </c>
      <c r="M70" s="3">
        <f>IF(OR(M$12=0,$B70=0),0,IF(výkony!$D$8&lt;0.7,IF(logic!$A$50=1,výkony!L71,výkony!Y71),IF(logic!$A$50=1,výkony!AM71,výkony!AR71)))</f>
        <v>934</v>
      </c>
      <c r="N70" s="224">
        <f t="shared" si="28"/>
        <v>600</v>
      </c>
      <c r="O70" s="158"/>
      <c r="P70" s="158"/>
      <c r="Q70" s="158"/>
      <c r="R70" s="158"/>
      <c r="S70" s="93">
        <v>595</v>
      </c>
      <c r="T70" s="104" t="str">
        <f t="shared" si="29"/>
        <v>KRC-070060-00-10</v>
      </c>
      <c r="U70" s="105" t="str">
        <f t="shared" si="29"/>
        <v>KRC-090060-00-10</v>
      </c>
      <c r="V70" s="105" t="str">
        <f t="shared" si="29"/>
        <v>KRC-122060-00-10</v>
      </c>
      <c r="W70" s="105" t="str">
        <f t="shared" si="29"/>
        <v>KRC-150060-00-10</v>
      </c>
      <c r="X70" s="106" t="str">
        <f t="shared" si="29"/>
        <v>KRC-182060-00-10</v>
      </c>
      <c r="Y70" s="110" t="str">
        <f t="shared" si="30"/>
        <v>KRC-070060-00M10</v>
      </c>
      <c r="Z70" s="110" t="str">
        <f t="shared" si="30"/>
        <v>KRC-090060-00M10</v>
      </c>
      <c r="AA70" s="110" t="str">
        <f t="shared" si="30"/>
        <v>KRC-122060-00M10</v>
      </c>
      <c r="AB70" s="110" t="str">
        <f t="shared" si="30"/>
        <v>KRC-150060-00M10</v>
      </c>
      <c r="AC70" s="110" t="str">
        <f t="shared" si="30"/>
        <v>KRC-182060-00M10</v>
      </c>
      <c r="AD70" s="93">
        <v>595</v>
      </c>
    </row>
    <row r="71" spans="1:30" ht="15.75" hidden="1" thickBot="1" x14ac:dyDescent="0.3">
      <c r="A71" s="158"/>
      <c r="B71">
        <f>IF(AND($K$5=logic!$I$4,$M$5=logic!$I$4),1,IF(AND(C71&gt;=$K$5,C71&lt;=$M$5),1,0))</f>
        <v>1</v>
      </c>
      <c r="C71" s="225">
        <f>IF(logic!$K$64=2,výkony!B72/logic!$M$64,výkony!B72)</f>
        <v>750</v>
      </c>
      <c r="D71" s="4">
        <f>IF(OR(D$12=0,$B71=0),0,IF(výkony!$D$8&lt;0.7,IF(logic!$A$50=1,výkony!C72,výkony!P72),IF(logic!$A$50=1,výkony!AD72,výkony!AI72)))</f>
        <v>400</v>
      </c>
      <c r="E71" s="5">
        <f>IF(OR(E$12=0,$B71=0),0,IF(výkony!$D$8&lt;0.7,IF(logic!$A$50=1,výkony!D72,výkony!Q72),IF(logic!$A$50=1,výkony!AE72,výkony!AJ72)))</f>
        <v>522</v>
      </c>
      <c r="F71" s="5">
        <f>IF(OR(F$12=0,$B71=0),0,IF(výkony!$D$8&lt;0.7,IF(logic!$A$50=1,výkony!E72,výkony!R72),IF(logic!$A$50=1,výkony!AF72,výkony!AK72)))</f>
        <v>726</v>
      </c>
      <c r="G71" s="5">
        <f>IF(OR(G$12=0,$B71=0),0,IF(výkony!$D$8&lt;0.7,IF(logic!$A$50=1,výkony!F72,výkony!S72),IF(logic!$A$50=1,výkony!AG72,výkony!AL72)))</f>
        <v>913</v>
      </c>
      <c r="H71" s="6">
        <f>IF(OR(H$12=0,$B71=0),0,IF(výkony!$D$8&lt;0.7,IF(logic!$A$50=1,výkony!G72,výkony!T72),IF(logic!$A$50=1,výkony!AH72,výkony!AM72)))</f>
        <v>1138</v>
      </c>
      <c r="I71" s="4">
        <f>IF(OR(I$12=0,$B71=0),0,IF(výkony!$D$8&lt;0.7,IF(logic!$A$50=1,výkony!H72,výkony!U72),IF(logic!$A$50=1,výkony!AI72,výkony!AN72)))</f>
        <v>400</v>
      </c>
      <c r="J71" s="5">
        <f>IF(OR(J$12=0,$B71=0),0,IF(výkony!$D$8&lt;0.7,IF(logic!$A$50=1,výkony!I72,výkony!V72),IF(logic!$A$50=1,výkony!AJ72,výkony!AO72)))</f>
        <v>522</v>
      </c>
      <c r="K71" s="5">
        <f>IF(OR(K$12=0,$B71=0),0,IF(výkony!$D$8&lt;0.7,IF(logic!$A$50=1,výkony!J72,výkony!W72),IF(logic!$A$50=1,výkony!AK72,výkony!AP72)))</f>
        <v>726</v>
      </c>
      <c r="L71" s="5">
        <f>IF(OR(L$12=0,$B71=0),0,IF(výkony!$D$8&lt;0.7,IF(logic!$A$50=1,výkony!K72,výkony!X72),IF(logic!$A$50=1,výkony!AL72,výkony!AQ72)))</f>
        <v>913</v>
      </c>
      <c r="M71" s="6">
        <f>IF(OR(M$12=0,$B71=0),0,IF(výkony!$D$8&lt;0.7,IF(logic!$A$50=1,výkony!L72,výkony!Y72),IF(logic!$A$50=1,výkony!AM72,výkony!AR72)))</f>
        <v>1138</v>
      </c>
      <c r="N71" s="225">
        <f t="shared" si="28"/>
        <v>750</v>
      </c>
      <c r="O71" s="158"/>
      <c r="P71" s="158"/>
      <c r="Q71" s="158"/>
      <c r="R71" s="158"/>
      <c r="S71" s="94">
        <v>745</v>
      </c>
      <c r="T71" s="107" t="str">
        <f t="shared" si="29"/>
        <v>KRC-070075-00-10</v>
      </c>
      <c r="U71" s="108" t="str">
        <f t="shared" si="29"/>
        <v>KRC-090075-00-10</v>
      </c>
      <c r="V71" s="108" t="str">
        <f t="shared" si="29"/>
        <v>KRC-122075-00-10</v>
      </c>
      <c r="W71" s="108" t="str">
        <f t="shared" si="29"/>
        <v>KRC-150075-00-10</v>
      </c>
      <c r="X71" s="109" t="str">
        <f t="shared" si="29"/>
        <v>KRC-182075-00-10</v>
      </c>
      <c r="Y71" s="110" t="str">
        <f t="shared" si="30"/>
        <v>KRC-070075-00M10</v>
      </c>
      <c r="Z71" s="110" t="str">
        <f t="shared" si="30"/>
        <v>KRC-090075-00M10</v>
      </c>
      <c r="AA71" s="110" t="str">
        <f t="shared" si="30"/>
        <v>KRC-122075-00M10</v>
      </c>
      <c r="AB71" s="110" t="str">
        <f t="shared" si="30"/>
        <v>KRC-150075-00M10</v>
      </c>
      <c r="AC71" s="110" t="str">
        <f t="shared" si="30"/>
        <v>KRC-182075-00M10</v>
      </c>
      <c r="AD71" s="94">
        <v>745</v>
      </c>
    </row>
    <row r="72" spans="1:30" hidden="1" x14ac:dyDescent="0.25">
      <c r="A72" s="158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158"/>
      <c r="P72" s="158"/>
      <c r="Q72" s="158"/>
      <c r="R72" s="158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</row>
    <row r="73" spans="1:30" ht="15.75" hidden="1" thickBot="1" x14ac:dyDescent="0.3">
      <c r="A73" s="158"/>
      <c r="D73" s="41" t="s">
        <v>271</v>
      </c>
      <c r="E73" s="42"/>
      <c r="F73" s="42"/>
      <c r="G73" s="43"/>
      <c r="N73" s="34"/>
      <c r="O73" s="158"/>
      <c r="P73" s="158"/>
      <c r="Q73" s="158"/>
      <c r="R73" s="158"/>
      <c r="S73" s="34"/>
      <c r="T73" s="69" t="s">
        <v>270</v>
      </c>
      <c r="U73" s="70"/>
      <c r="V73" s="70"/>
      <c r="W73" s="71"/>
      <c r="Z73" s="69" t="s">
        <v>271</v>
      </c>
      <c r="AA73" s="61"/>
      <c r="AB73" s="61"/>
      <c r="AC73" s="62"/>
      <c r="AD73" s="34"/>
    </row>
    <row r="74" spans="1:30" hidden="1" x14ac:dyDescent="0.25">
      <c r="A74" s="158"/>
      <c r="C74" s="7" t="str">
        <f>logic!$L$4</f>
        <v>Длина</v>
      </c>
      <c r="D74" s="44" t="str">
        <f>logic!$K$4&amp;" H ["&amp;logic!$O$64&amp;"]"</f>
        <v>Высота H [mm]</v>
      </c>
      <c r="E74" s="45"/>
      <c r="F74" s="45"/>
      <c r="G74" s="46"/>
      <c r="N74" s="34"/>
      <c r="O74" s="158"/>
      <c r="P74" s="158"/>
      <c r="Q74" s="158"/>
      <c r="R74" s="158"/>
      <c r="S74" s="7" t="str">
        <f>logic!$L$4</f>
        <v>Длина</v>
      </c>
      <c r="T74" s="66" t="str">
        <f>logic!$K$4&amp;" H [mm]"</f>
        <v>Высота H [mm]</v>
      </c>
      <c r="U74" s="67"/>
      <c r="V74" s="67"/>
      <c r="W74" s="68"/>
      <c r="Y74" s="7" t="str">
        <f>logic!$L$4</f>
        <v>Длина</v>
      </c>
      <c r="Z74" s="63" t="str">
        <f>logic!$K$4&amp;" H [mm]"</f>
        <v>Высота H [mm]</v>
      </c>
      <c r="AA74" s="64"/>
      <c r="AB74" s="64"/>
      <c r="AC74" s="65"/>
      <c r="AD74" s="34"/>
    </row>
    <row r="75" spans="1:30" ht="15.75" hidden="1" thickBot="1" x14ac:dyDescent="0.3">
      <c r="A75" s="158"/>
      <c r="C75" s="8" t="str">
        <f>"L ["&amp;logic!$O$64&amp;"]"</f>
        <v>L [mm]</v>
      </c>
      <c r="D75" s="15">
        <f>IF(logic!$K$64=2,výkony!C76/logic!$M$64,výkony!C76)</f>
        <v>900</v>
      </c>
      <c r="E75" s="16">
        <f>IF(logic!$K$64=2,výkony!D76/logic!$M$64,výkony!D76)</f>
        <v>1220</v>
      </c>
      <c r="F75" s="16">
        <f>IF(logic!$K$64=2,výkony!E76/logic!$M$64,výkony!E76)</f>
        <v>1500</v>
      </c>
      <c r="G75" s="17">
        <f>IF(logic!$K$64=2,výkony!F76/logic!$M$64,výkony!F76)</f>
        <v>1820</v>
      </c>
      <c r="N75" s="34"/>
      <c r="O75" s="158"/>
      <c r="P75" s="158"/>
      <c r="Q75" s="158"/>
      <c r="R75" s="158"/>
      <c r="S75" s="8" t="s">
        <v>201</v>
      </c>
      <c r="T75" s="95">
        <v>900</v>
      </c>
      <c r="U75" s="96">
        <v>1220</v>
      </c>
      <c r="V75" s="96">
        <v>1500</v>
      </c>
      <c r="W75" s="97">
        <v>1820</v>
      </c>
      <c r="Y75" s="8" t="s">
        <v>201</v>
      </c>
      <c r="Z75" s="95">
        <v>900</v>
      </c>
      <c r="AA75" s="96">
        <v>1220</v>
      </c>
      <c r="AB75" s="96">
        <v>1500</v>
      </c>
      <c r="AC75" s="97">
        <v>1820</v>
      </c>
      <c r="AD75" s="34"/>
    </row>
    <row r="76" spans="1:30" hidden="1" x14ac:dyDescent="0.25">
      <c r="A76" s="158"/>
      <c r="B76">
        <f>IF(AND($K$5=logic!$I$4,$M$5=logic!$I$4),1,IF(AND(C46&gt;=$K$5,C46&lt;=$M$5),1,0))</f>
        <v>1</v>
      </c>
      <c r="C76" s="223">
        <f>IF(logic!$K$64=2,výkony!B77/logic!$M$64,výkony!B77)</f>
        <v>450</v>
      </c>
      <c r="D76" s="12">
        <f>IF(OR(D$12=0,$B76=0),0,IF(výkony!$D$8&lt;0.7,IF(logic!$A$50=1,výkony!C77,výkony!P77),IF(logic!$A$50=1,výkony!AD77,výkony!AI77)))</f>
        <v>249</v>
      </c>
      <c r="E76" s="13">
        <f>IF(OR(E$12=0,$B76=0),0,IF(výkony!$D$8&lt;0.7,IF(logic!$A$50=1,výkony!D77,výkony!Q77),IF(logic!$A$50=1,výkony!AE77,výkony!AJ77)))</f>
        <v>338</v>
      </c>
      <c r="F76" s="13">
        <f>IF(OR(F$12=0,$B76=0),0,IF(výkony!$D$8&lt;0.7,IF(logic!$A$50=1,výkony!E77,výkony!R77),IF(logic!$A$50=1,výkony!AF77,výkony!AK77)))</f>
        <v>419</v>
      </c>
      <c r="G76" s="14">
        <f>IF(OR(G$12=0,$B76=0),0,IF(výkony!$D$8&lt;0.7,IF(logic!$A$50=1,výkony!F77,výkony!S77),IF(logic!$A$50=1,výkony!AG77,výkony!AL77)))</f>
        <v>516</v>
      </c>
      <c r="N76" s="34"/>
      <c r="O76" s="158"/>
      <c r="P76" s="158"/>
      <c r="Q76" s="158"/>
      <c r="R76" s="158"/>
      <c r="S76" s="92">
        <v>445</v>
      </c>
      <c r="T76" s="110" t="str">
        <f>"KLX-"&amp;IF(LEN(T$75)=3,"0"&amp;T$75/10,T$75/10)&amp;"0"&amp;ROUND($S76/10,0)&amp;"-00M27"</f>
        <v>KLX-090045-00M27</v>
      </c>
      <c r="U76" s="111" t="str">
        <f t="shared" ref="U76:W76" si="31">"KLX-"&amp;IF(LEN(U$75)=3,"0"&amp;U$75/10,U$75/10)&amp;"0"&amp;ROUND($S76/10,0)&amp;"-00M27"</f>
        <v>KLX-122045-00M27</v>
      </c>
      <c r="V76" s="111" t="str">
        <f t="shared" si="31"/>
        <v>KLX-150045-00M27</v>
      </c>
      <c r="W76" s="112" t="str">
        <f t="shared" si="31"/>
        <v>KLX-182045-00M27</v>
      </c>
      <c r="Y76" s="92">
        <v>450</v>
      </c>
      <c r="Z76" s="110" t="str">
        <f>"KRX-"&amp;IF(LEN(Z$75)=3,"0"&amp;Z$75/10,Z$75/10)&amp;"0"&amp;ROUND($S76/10,0)&amp;"-00M27"</f>
        <v>KRX-090045-00M27</v>
      </c>
      <c r="AA76" s="111" t="str">
        <f t="shared" ref="AA76:AC76" si="32">"KRX-"&amp;IF(LEN(AA$75)=3,"0"&amp;AA$75/10,AA$75/10)&amp;"0"&amp;ROUND($S76/10,0)&amp;"-00M27"</f>
        <v>KRX-122045-00M27</v>
      </c>
      <c r="AB76" s="111" t="str">
        <f t="shared" si="32"/>
        <v>KRX-150045-00M27</v>
      </c>
      <c r="AC76" s="112" t="str">
        <f t="shared" si="32"/>
        <v>KRX-182045-00M27</v>
      </c>
      <c r="AD76" s="34"/>
    </row>
    <row r="77" spans="1:30" hidden="1" x14ac:dyDescent="0.25">
      <c r="A77" s="158"/>
      <c r="B77">
        <f>IF(AND($K$5=logic!$I$4,$M$5=logic!$I$4),1,IF(AND(C47&gt;=$K$5,C47&lt;=$M$5),1,0))</f>
        <v>1</v>
      </c>
      <c r="C77" s="224">
        <f>IF(logic!$K$64=2,výkony!B78/logic!$M$64,výkony!B78)</f>
        <v>600</v>
      </c>
      <c r="D77" s="2">
        <f>IF(OR(D$12=0,$B77=0),0,IF(výkony!$D$8&lt;0.7,IF(logic!$A$50=1,výkony!C78,výkony!P78),IF(logic!$A$50=1,výkony!AD78,výkony!AI78)))</f>
        <v>319</v>
      </c>
      <c r="E77" s="1">
        <f>IF(OR(E$12=0,$B77=0),0,IF(výkony!$D$8&lt;0.7,IF(logic!$A$50=1,výkony!D78,výkony!Q78),IF(logic!$A$50=1,výkony!AE78,výkony!AJ78)))</f>
        <v>433</v>
      </c>
      <c r="F77" s="1">
        <f>IF(OR(F$12=0,$B77=0),0,IF(výkony!$D$8&lt;0.7,IF(logic!$A$50=1,výkony!E78,výkony!R78),IF(logic!$A$50=1,výkony!AF78,výkony!AK78)))</f>
        <v>537</v>
      </c>
      <c r="G77" s="3">
        <f>IF(OR(G$12=0,$B77=0),0,IF(výkony!$D$8&lt;0.7,IF(logic!$A$50=1,výkony!F78,výkony!S78),IF(logic!$A$50=1,výkony!AG78,výkony!AL78)))</f>
        <v>662</v>
      </c>
      <c r="N77" s="34"/>
      <c r="O77" s="158"/>
      <c r="P77" s="158"/>
      <c r="Q77" s="158"/>
      <c r="R77" s="158"/>
      <c r="S77" s="93">
        <v>595</v>
      </c>
      <c r="T77" s="104" t="str">
        <f t="shared" ref="T77:W78" si="33">"KLX-"&amp;IF(LEN(T$75)=3,"0"&amp;T$75/10,T$75/10)&amp;"0"&amp;ROUND($S77/10,0)&amp;"-00M27"</f>
        <v>KLX-090060-00M27</v>
      </c>
      <c r="U77" s="105" t="str">
        <f t="shared" si="33"/>
        <v>KLX-122060-00M27</v>
      </c>
      <c r="V77" s="105" t="str">
        <f t="shared" si="33"/>
        <v>KLX-150060-00M27</v>
      </c>
      <c r="W77" s="106" t="str">
        <f t="shared" si="33"/>
        <v>KLX-182060-00M27</v>
      </c>
      <c r="Y77" s="93">
        <v>600</v>
      </c>
      <c r="Z77" s="104" t="str">
        <f t="shared" ref="Z77:AC78" si="34">"KRX-"&amp;IF(LEN(Z$75)=3,"0"&amp;Z$75/10,Z$75/10)&amp;"0"&amp;ROUND($S77/10,0)&amp;"-00M27"</f>
        <v>KRX-090060-00M27</v>
      </c>
      <c r="AA77" s="105" t="str">
        <f t="shared" si="34"/>
        <v>KRX-122060-00M27</v>
      </c>
      <c r="AB77" s="105" t="str">
        <f t="shared" si="34"/>
        <v>KRX-150060-00M27</v>
      </c>
      <c r="AC77" s="106" t="str">
        <f t="shared" si="34"/>
        <v>KRX-182060-00M27</v>
      </c>
      <c r="AD77" s="34"/>
    </row>
    <row r="78" spans="1:30" ht="15.75" hidden="1" thickBot="1" x14ac:dyDescent="0.3">
      <c r="A78" s="158"/>
      <c r="B78">
        <f>IF(AND($K$5=logic!$I$4,$M$5=logic!$I$4),1,IF(AND(C48&gt;=$K$5,C48&lt;=$M$5),1,0))</f>
        <v>1</v>
      </c>
      <c r="C78" s="225">
        <f>IF(logic!$K$64=2,výkony!B79/logic!$M$64,výkony!B79)</f>
        <v>750</v>
      </c>
      <c r="D78" s="4">
        <f>IF(OR(D$12=0,$B78=0),0,IF(výkony!$D$8&lt;0.7,IF(logic!$A$50=1,výkony!C79,výkony!P79),IF(logic!$A$50=1,výkony!AD79,výkony!AI79)))</f>
        <v>387</v>
      </c>
      <c r="E78" s="5">
        <f>IF(OR(E$12=0,$B78=0),0,IF(výkony!$D$8&lt;0.7,IF(logic!$A$50=1,výkony!D79,výkony!Q79),IF(logic!$A$50=1,výkony!AE79,výkony!AJ79)))</f>
        <v>526</v>
      </c>
      <c r="F78" s="5">
        <f>IF(OR(F$12=0,$B78=0),0,IF(výkony!$D$8&lt;0.7,IF(logic!$A$50=1,výkony!E79,výkony!R79),IF(logic!$A$50=1,výkony!AF79,výkony!AK79)))</f>
        <v>652</v>
      </c>
      <c r="G78" s="6">
        <f>IF(OR(G$12=0,$B78=0),0,IF(výkony!$D$8&lt;0.7,IF(logic!$A$50=1,výkony!F79,výkony!S79),IF(logic!$A$50=1,výkony!AG79,výkony!AL79)))</f>
        <v>802</v>
      </c>
      <c r="N78" s="34"/>
      <c r="O78" s="158"/>
      <c r="P78" s="158"/>
      <c r="Q78" s="158"/>
      <c r="R78" s="158"/>
      <c r="S78" s="94">
        <v>745</v>
      </c>
      <c r="T78" s="107" t="str">
        <f t="shared" si="33"/>
        <v>KLX-090075-00M27</v>
      </c>
      <c r="U78" s="108" t="str">
        <f t="shared" si="33"/>
        <v>KLX-122075-00M27</v>
      </c>
      <c r="V78" s="108" t="str">
        <f t="shared" si="33"/>
        <v>KLX-150075-00M27</v>
      </c>
      <c r="W78" s="109" t="str">
        <f t="shared" si="33"/>
        <v>KLX-182075-00M27</v>
      </c>
      <c r="Y78" s="94">
        <v>750</v>
      </c>
      <c r="Z78" s="107" t="str">
        <f t="shared" si="34"/>
        <v>KRX-090075-00M27</v>
      </c>
      <c r="AA78" s="108" t="str">
        <f t="shared" si="34"/>
        <v>KRX-122075-00M27</v>
      </c>
      <c r="AB78" s="108" t="str">
        <f t="shared" si="34"/>
        <v>KRX-150075-00M27</v>
      </c>
      <c r="AC78" s="109" t="str">
        <f t="shared" si="34"/>
        <v>KRX-182075-00M27</v>
      </c>
      <c r="AD78" s="34"/>
    </row>
    <row r="79" spans="1:30" hidden="1" x14ac:dyDescent="0.25">
      <c r="A79" s="158"/>
      <c r="C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158"/>
      <c r="P79" s="158"/>
      <c r="Q79" s="158"/>
      <c r="R79" s="158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</row>
    <row r="80" spans="1:30" x14ac:dyDescent="0.25">
      <c r="A80" s="158"/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91"/>
      <c r="O80" s="158"/>
      <c r="P80" s="158"/>
      <c r="Q80" s="158"/>
      <c r="R80" s="158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</row>
    <row r="81" spans="1:30" ht="15" customHeight="1" x14ac:dyDescent="0.25">
      <c r="A81" s="158"/>
      <c r="B81" s="158"/>
      <c r="C81" s="158"/>
      <c r="D81" s="158"/>
      <c r="E81" s="158"/>
      <c r="F81" s="158"/>
      <c r="G81" s="158"/>
      <c r="H81" s="158"/>
      <c r="I81" s="158"/>
      <c r="J81" s="158"/>
      <c r="K81" s="158"/>
      <c r="L81" s="158"/>
      <c r="M81" s="158"/>
      <c r="N81" s="158"/>
      <c r="O81" s="158"/>
      <c r="P81" s="158"/>
      <c r="Q81" s="158"/>
      <c r="R81" s="158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</row>
    <row r="82" spans="1:30" ht="15" customHeight="1" x14ac:dyDescent="0.25">
      <c r="A82" s="158"/>
      <c r="B82" s="158"/>
      <c r="C82" s="158"/>
      <c r="D82" s="158"/>
      <c r="E82" s="158"/>
      <c r="F82" s="158"/>
      <c r="G82" s="158"/>
      <c r="H82" s="158"/>
      <c r="I82" s="158"/>
      <c r="J82" s="158"/>
      <c r="K82" s="158"/>
      <c r="L82" s="158"/>
      <c r="M82" s="158"/>
      <c r="N82" s="158"/>
      <c r="O82" s="158"/>
      <c r="P82" s="158"/>
      <c r="Q82" s="158"/>
      <c r="R82" s="158"/>
      <c r="S82" s="90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91"/>
    </row>
    <row r="83" spans="1:30" hidden="1" x14ac:dyDescent="0.25">
      <c r="A83" s="158"/>
      <c r="B83" s="158"/>
      <c r="C83" s="158"/>
      <c r="D83" s="158"/>
      <c r="E83" s="158"/>
      <c r="F83" s="158"/>
      <c r="G83" s="158"/>
      <c r="H83" s="158"/>
      <c r="I83" s="158"/>
      <c r="J83" s="158"/>
      <c r="K83" s="158"/>
      <c r="L83" s="158"/>
      <c r="M83" s="158"/>
      <c r="N83" s="158"/>
      <c r="O83" s="158"/>
      <c r="P83" s="158"/>
      <c r="Q83" s="158"/>
      <c r="R83" s="158"/>
    </row>
    <row r="84" spans="1:30" hidden="1" x14ac:dyDescent="0.25">
      <c r="A84" s="158"/>
      <c r="B84" s="158"/>
      <c r="C84" s="158"/>
      <c r="D84" s="158"/>
      <c r="E84" s="158"/>
      <c r="F84" s="158"/>
      <c r="G84" s="158"/>
      <c r="H84" s="158"/>
      <c r="I84" s="158"/>
      <c r="J84" s="158"/>
      <c r="K84" s="158"/>
      <c r="L84" s="158"/>
      <c r="M84" s="158"/>
      <c r="N84" s="158"/>
      <c r="O84" s="158"/>
      <c r="P84" s="158"/>
      <c r="Q84" s="158"/>
      <c r="R84" s="158"/>
    </row>
    <row r="85" spans="1:30" hidden="1" x14ac:dyDescent="0.25">
      <c r="A85" s="158"/>
      <c r="B85" s="158"/>
      <c r="C85" s="158"/>
      <c r="D85" s="158"/>
      <c r="E85" s="158"/>
      <c r="F85" s="158"/>
      <c r="G85" s="158"/>
      <c r="H85" s="158"/>
      <c r="I85" s="158"/>
      <c r="J85" s="158"/>
      <c r="K85" s="158"/>
      <c r="L85" s="158"/>
      <c r="M85" s="158"/>
      <c r="N85" s="158"/>
      <c r="O85" s="158"/>
      <c r="P85" s="158"/>
      <c r="Q85" s="158"/>
      <c r="R85" s="158"/>
    </row>
    <row r="86" spans="1:30" hidden="1" x14ac:dyDescent="0.25">
      <c r="A86" s="158"/>
      <c r="B86" s="158"/>
      <c r="C86" s="158"/>
      <c r="D86" s="158"/>
      <c r="E86" s="158"/>
      <c r="F86" s="158"/>
      <c r="G86" s="158"/>
      <c r="H86" s="158"/>
      <c r="I86" s="158"/>
      <c r="J86" s="158"/>
      <c r="K86" s="158"/>
      <c r="L86" s="158"/>
      <c r="M86" s="158"/>
      <c r="N86" s="158"/>
      <c r="O86" s="158"/>
      <c r="P86" s="158"/>
      <c r="Q86" s="158"/>
      <c r="R86" s="158"/>
    </row>
    <row r="87" spans="1:30" hidden="1" x14ac:dyDescent="0.25">
      <c r="A87" s="158"/>
      <c r="B87" s="158"/>
      <c r="C87" s="158"/>
      <c r="D87" s="158"/>
      <c r="E87" s="158"/>
      <c r="F87" s="158"/>
      <c r="G87" s="158"/>
      <c r="H87" s="158"/>
      <c r="I87" s="158"/>
      <c r="J87" s="158"/>
      <c r="K87" s="158"/>
      <c r="L87" s="158"/>
      <c r="M87" s="158"/>
      <c r="N87" s="158"/>
      <c r="O87" s="158"/>
      <c r="P87" s="158"/>
      <c r="Q87" s="158"/>
      <c r="R87" s="158"/>
    </row>
    <row r="88" spans="1:30" hidden="1" x14ac:dyDescent="0.25">
      <c r="A88" s="158"/>
      <c r="B88" s="158"/>
      <c r="C88" s="158"/>
      <c r="D88" s="158"/>
      <c r="E88" s="158"/>
      <c r="F88" s="158"/>
      <c r="G88" s="158"/>
      <c r="H88" s="158"/>
      <c r="I88" s="158"/>
      <c r="J88" s="158"/>
      <c r="K88" s="158"/>
      <c r="L88" s="158"/>
      <c r="M88" s="158"/>
      <c r="N88" s="158"/>
      <c r="O88" s="158"/>
      <c r="P88" s="158"/>
      <c r="Q88" s="158"/>
      <c r="R88" s="158"/>
    </row>
  </sheetData>
  <mergeCells count="2">
    <mergeCell ref="P8:P9"/>
    <mergeCell ref="Q8:Q9"/>
  </mergeCells>
  <conditionalFormatting sqref="M3 K3">
    <cfRule type="cellIs" dxfId="20" priority="57" stopIfTrue="1" operator="lessThan">
      <formula>0</formula>
    </cfRule>
  </conditionalFormatting>
  <conditionalFormatting sqref="C6">
    <cfRule type="cellIs" dxfId="19" priority="35" stopIfTrue="1" operator="notEqual">
      <formula>0</formula>
    </cfRule>
  </conditionalFormatting>
  <conditionalFormatting sqref="C4">
    <cfRule type="cellIs" dxfId="18" priority="30" operator="lessThanOrEqual">
      <formula>$D$4</formula>
    </cfRule>
  </conditionalFormatting>
  <conditionalFormatting sqref="D4">
    <cfRule type="cellIs" dxfId="17" priority="29" operator="greaterThanOrEqual">
      <formula>$C$4</formula>
    </cfRule>
  </conditionalFormatting>
  <conditionalFormatting sqref="T16:AC18 T23:AC26 T39:W41 T53:AC55 T60:AC63 T68:AC71 T31:AC34 D16:M18 D23:M26 D31:M34 D39:G41 D46:G48 D53:M55 D60:M63 D68:M71 D76:G78">
    <cfRule type="cellIs" dxfId="16" priority="58" operator="equal">
      <formula>0</formula>
    </cfRule>
    <cfRule type="cellIs" dxfId="15" priority="59" operator="between">
      <formula>$K$3</formula>
      <formula>$M$3</formula>
    </cfRule>
  </conditionalFormatting>
  <conditionalFormatting sqref="T76:W78 Z76:AC78">
    <cfRule type="cellIs" dxfId="14" priority="19" operator="equal">
      <formula>0</formula>
    </cfRule>
    <cfRule type="cellIs" dxfId="13" priority="20" operator="between">
      <formula>$K$4</formula>
      <formula>$M$4</formula>
    </cfRule>
  </conditionalFormatting>
  <conditionalFormatting sqref="T76:W78">
    <cfRule type="cellIs" dxfId="12" priority="17" operator="equal">
      <formula>0</formula>
    </cfRule>
    <cfRule type="cellIs" dxfId="11" priority="18" operator="between">
      <formula>$K$3</formula>
      <formula>$M$3</formula>
    </cfRule>
  </conditionalFormatting>
  <conditionalFormatting sqref="Z76:AC78">
    <cfRule type="cellIs" dxfId="10" priority="15" operator="equal">
      <formula>0</formula>
    </cfRule>
    <cfRule type="cellIs" dxfId="9" priority="16" operator="between">
      <formula>$K$3</formula>
      <formula>$M$3</formula>
    </cfRule>
  </conditionalFormatting>
  <conditionalFormatting sqref="Z76:AC78">
    <cfRule type="cellIs" dxfId="8" priority="13" operator="equal">
      <formula>0</formula>
    </cfRule>
    <cfRule type="cellIs" dxfId="7" priority="14" operator="between">
      <formula>$K$3</formula>
      <formula>$M$3</formula>
    </cfRule>
  </conditionalFormatting>
  <conditionalFormatting sqref="Z39:AB40">
    <cfRule type="cellIs" dxfId="6" priority="7" operator="equal">
      <formula>0</formula>
    </cfRule>
    <cfRule type="cellIs" dxfId="5" priority="8" operator="between">
      <formula>$K$3</formula>
      <formula>$M$3</formula>
    </cfRule>
  </conditionalFormatting>
  <conditionalFormatting sqref="J40:L41">
    <cfRule type="cellIs" dxfId="4" priority="1" operator="equal">
      <formula>0</formula>
    </cfRule>
    <cfRule type="cellIs" dxfId="3" priority="2" operator="between">
      <formula>$K$3</formula>
      <formula>$M$3</formula>
    </cfRule>
  </conditionalFormatting>
  <printOptions horizontalCentered="1" verticalCentered="1"/>
  <pageMargins left="0.39370078740157483" right="0.39370078740157483" top="0.39370078740157483" bottom="0.39370078740157483" header="0.31496062992125984" footer="0.19685039370078741"/>
  <pageSetup paperSize="9" scale="95" orientation="landscape" r:id="rId1"/>
  <headerFooter>
    <oddFooter>&amp;C&amp;"-,Kurzíva"&amp;8&amp;P / &amp;N</oddFooter>
  </headerFooter>
  <drawing r:id="rId2"/>
  <legacyDrawing r:id="rId3"/>
  <controls>
    <mc:AlternateContent xmlns:mc="http://schemas.openxmlformats.org/markup-compatibility/2006">
      <mc:Choice Requires="x14">
        <control shapeId="1045" r:id="rId4" name="cb_Zobrazit_Databazi">
          <controlPr defaultSize="0" disabled="1" autoLine="0" r:id="rId5">
            <anchor moveWithCells="1">
              <from>
                <xdr:col>14</xdr:col>
                <xdr:colOff>152400</xdr:colOff>
                <xdr:row>4</xdr:row>
                <xdr:rowOff>0</xdr:rowOff>
              </from>
              <to>
                <xdr:col>17</xdr:col>
                <xdr:colOff>123825</xdr:colOff>
                <xdr:row>5</xdr:row>
                <xdr:rowOff>114300</xdr:rowOff>
              </to>
            </anchor>
          </controlPr>
        </control>
      </mc:Choice>
      <mc:Fallback>
        <control shapeId="1045" r:id="rId4" name="cb_Zobrazit_Databazi"/>
      </mc:Fallback>
    </mc:AlternateContent>
    <mc:AlternateContent xmlns:mc="http://schemas.openxmlformats.org/markup-compatibility/2006">
      <mc:Choice Requires="x14">
        <control shapeId="1044" r:id="rId6" name="cb_Pridat_do_databaze">
          <controlPr defaultSize="0" autoLine="0" r:id="rId7">
            <anchor moveWithCells="1">
              <from>
                <xdr:col>14</xdr:col>
                <xdr:colOff>152400</xdr:colOff>
                <xdr:row>0</xdr:row>
                <xdr:rowOff>190500</xdr:rowOff>
              </from>
              <to>
                <xdr:col>17</xdr:col>
                <xdr:colOff>123825</xdr:colOff>
                <xdr:row>1</xdr:row>
                <xdr:rowOff>123825</xdr:rowOff>
              </to>
            </anchor>
          </controlPr>
        </control>
      </mc:Choice>
      <mc:Fallback>
        <control shapeId="1044" r:id="rId6" name="cb_Pridat_do_databaze"/>
      </mc:Fallback>
    </mc:AlternateContent>
    <mc:AlternateContent xmlns:mc="http://schemas.openxmlformats.org/markup-compatibility/2006">
      <mc:Choice Requires="x14">
        <control shapeId="1025" r:id="rId8" name="Drop Down 1">
          <controlPr defaultSize="0" print="0" autoLine="0" autoPict="0">
            <anchor moveWithCells="1">
              <from>
                <xdr:col>10</xdr:col>
                <xdr:colOff>0</xdr:colOff>
                <xdr:row>3</xdr:row>
                <xdr:rowOff>200025</xdr:rowOff>
              </from>
              <to>
                <xdr:col>11</xdr:col>
                <xdr:colOff>0</xdr:colOff>
                <xdr:row>4</xdr:row>
                <xdr:rowOff>190500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26" r:id="rId9" name="Drop Down 2">
          <controlPr defaultSize="0" print="0" autoLine="0" autoPict="0">
            <anchor moveWithCells="1">
              <from>
                <xdr:col>12</xdr:col>
                <xdr:colOff>0</xdr:colOff>
                <xdr:row>3</xdr:row>
                <xdr:rowOff>200025</xdr:rowOff>
              </from>
              <to>
                <xdr:col>13</xdr:col>
                <xdr:colOff>0</xdr:colOff>
                <xdr:row>4</xdr:row>
                <xdr:rowOff>190500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28" r:id="rId10" name="Drop Down 4">
          <controlPr defaultSize="0" print="0" autoLine="0" autoPict="0">
            <anchor moveWithCells="1">
              <from>
                <xdr:col>10</xdr:col>
                <xdr:colOff>0</xdr:colOff>
                <xdr:row>2</xdr:row>
                <xdr:rowOff>200025</xdr:rowOff>
              </from>
              <to>
                <xdr:col>11</xdr:col>
                <xdr:colOff>0</xdr:colOff>
                <xdr:row>3</xdr:row>
                <xdr:rowOff>200025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29" r:id="rId11" name="Drop Down 5">
          <controlPr defaultSize="0" print="0" autoLine="0" autoPict="0">
            <anchor moveWithCells="1">
              <from>
                <xdr:col>12</xdr:col>
                <xdr:colOff>0</xdr:colOff>
                <xdr:row>2</xdr:row>
                <xdr:rowOff>200025</xdr:rowOff>
              </from>
              <to>
                <xdr:col>13</xdr:col>
                <xdr:colOff>0</xdr:colOff>
                <xdr:row>3</xdr:row>
                <xdr:rowOff>200025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6" r:id="rId12" name="cb_provedeni">
          <controlPr defaultSize="0" print="0" autoLine="0" autoPict="0" macro="[0]!Hlavni.Volba_provedeni">
            <anchor moveWithCells="1">
              <from>
                <xdr:col>2</xdr:col>
                <xdr:colOff>0</xdr:colOff>
                <xdr:row>6</xdr:row>
                <xdr:rowOff>171450</xdr:rowOff>
              </from>
              <to>
                <xdr:col>3</xdr:col>
                <xdr:colOff>409575</xdr:colOff>
                <xdr:row>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7" r:id="rId13" name="cb_barva">
          <controlPr defaultSize="0" print="0" autoLine="0" autoPict="0" macro="[0]!Hlavni.Volba_barvy">
            <anchor moveWithCells="1">
              <from>
                <xdr:col>4</xdr:col>
                <xdr:colOff>0</xdr:colOff>
                <xdr:row>6</xdr:row>
                <xdr:rowOff>171450</xdr:rowOff>
              </from>
              <to>
                <xdr:col>6</xdr:col>
                <xdr:colOff>0</xdr:colOff>
                <xdr:row>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48" r:id="rId14" name="cb_pripojeni">
          <controlPr defaultSize="0" print="0" autoLine="0" autoPict="0" macro="[0]!Hlavni.Volba_pripojeni">
            <anchor moveWithCells="1">
              <from>
                <xdr:col>7</xdr:col>
                <xdr:colOff>0</xdr:colOff>
                <xdr:row>6</xdr:row>
                <xdr:rowOff>171450</xdr:rowOff>
              </from>
              <to>
                <xdr:col>10</xdr:col>
                <xdr:colOff>0</xdr:colOff>
                <xdr:row>8</xdr:row>
                <xdr:rowOff>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" r:id="rId15" name="Drop Down 26">
          <controlPr defaultSize="0" print="0" autoLine="0" autoPict="0" macro="[0]!Logic.Zmena_jazyka">
            <anchor moveWithCells="1">
              <from>
                <xdr:col>11</xdr:col>
                <xdr:colOff>323850</xdr:colOff>
                <xdr:row>6</xdr:row>
                <xdr:rowOff>180975</xdr:rowOff>
              </from>
              <to>
                <xdr:col>13</xdr:col>
                <xdr:colOff>533400</xdr:colOff>
                <xdr:row>8</xdr:row>
                <xdr:rowOff>9525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3" r:id="rId16" name="cb_pripojeni">
          <controlPr defaultSize="0" print="0" autoLine="0" autoPict="0" macro="[0]!Hlavni.Volba_pripojeni">
            <anchor moveWithCells="1">
              <from>
                <xdr:col>2</xdr:col>
                <xdr:colOff>0</xdr:colOff>
                <xdr:row>4</xdr:row>
                <xdr:rowOff>190500</xdr:rowOff>
              </from>
              <to>
                <xdr:col>5</xdr:col>
                <xdr:colOff>0</xdr:colOff>
                <xdr:row>6</xdr:row>
                <xdr:rowOff>0</xdr:rowOff>
              </to>
            </anchor>
          </controlPr>
        </control>
      </mc:Choice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Databaze"/>
  <dimension ref="A1:R727"/>
  <sheetViews>
    <sheetView showGridLines="0" showRowColHeaders="0" zoomScaleNormal="100" zoomScaleSheetLayoutView="100" workbookViewId="0">
      <pane ySplit="6" topLeftCell="A7" activePane="bottomLeft" state="frozen"/>
      <selection activeCell="L22" sqref="L22"/>
      <selection pane="bottomLeft" activeCell="G34" sqref="G34"/>
    </sheetView>
  </sheetViews>
  <sheetFormatPr defaultColWidth="0" defaultRowHeight="15" x14ac:dyDescent="0.25"/>
  <cols>
    <col min="1" max="1" width="4.7109375" style="18" customWidth="1"/>
    <col min="2" max="2" width="30.42578125" style="18" customWidth="1"/>
    <col min="3" max="3" width="17.140625" style="18" customWidth="1"/>
    <col min="4" max="5" width="10.7109375" style="18" customWidth="1"/>
    <col min="6" max="6" width="3.7109375" style="18" customWidth="1"/>
    <col min="7" max="8" width="3.5703125" style="18" customWidth="1"/>
    <col min="9" max="9" width="9.140625" style="18" customWidth="1"/>
    <col min="10" max="10" width="17.140625" style="18" customWidth="1"/>
    <col min="11" max="11" width="20.28515625" style="18" customWidth="1"/>
    <col min="12" max="12" width="13.85546875" style="159" customWidth="1"/>
    <col min="13" max="15" width="9.140625" style="159" customWidth="1"/>
    <col min="16" max="18" width="0" style="159" hidden="1" customWidth="1"/>
    <col min="19" max="16384" width="9.140625" style="18" hidden="1"/>
  </cols>
  <sheetData>
    <row r="1" spans="1:11" x14ac:dyDescent="0.25">
      <c r="A1" s="143" t="str">
        <f>logic!AB24</f>
        <v>Идентификация:</v>
      </c>
      <c r="B1" s="144"/>
      <c r="C1" s="145"/>
      <c r="D1" s="124"/>
      <c r="E1" s="124"/>
      <c r="G1" s="124"/>
      <c r="H1" s="122"/>
      <c r="I1" s="123"/>
      <c r="J1" s="152"/>
      <c r="K1" s="124"/>
    </row>
    <row r="2" spans="1:11" x14ac:dyDescent="0.25">
      <c r="A2" s="146"/>
      <c r="B2" s="133"/>
      <c r="C2" s="147"/>
      <c r="D2" s="124"/>
      <c r="E2" s="124"/>
      <c r="G2" s="127"/>
      <c r="H2" s="125"/>
      <c r="I2" s="126"/>
      <c r="J2" s="153"/>
      <c r="K2" s="127"/>
    </row>
    <row r="3" spans="1:11" x14ac:dyDescent="0.25">
      <c r="A3" s="146"/>
      <c r="B3" s="134"/>
      <c r="C3" s="148"/>
      <c r="D3" s="124"/>
      <c r="E3" s="124"/>
      <c r="G3" s="124"/>
      <c r="H3" s="124"/>
      <c r="I3" s="128"/>
      <c r="J3" s="154"/>
      <c r="K3" s="124"/>
    </row>
    <row r="4" spans="1:11" x14ac:dyDescent="0.25">
      <c r="A4" s="149"/>
      <c r="B4" s="150"/>
      <c r="C4" s="151"/>
      <c r="D4" s="124"/>
      <c r="E4" s="124"/>
      <c r="G4" s="124"/>
      <c r="H4" s="124"/>
      <c r="I4" s="128"/>
      <c r="J4" s="154"/>
      <c r="K4" s="124"/>
    </row>
    <row r="5" spans="1:11" x14ac:dyDescent="0.25">
      <c r="A5" s="129"/>
      <c r="B5" s="124"/>
      <c r="C5" s="124"/>
      <c r="D5" s="124"/>
      <c r="E5" s="124"/>
      <c r="F5" s="124"/>
      <c r="G5" s="124"/>
      <c r="H5" s="124"/>
      <c r="I5" s="128"/>
      <c r="J5" s="154"/>
      <c r="K5" s="124"/>
    </row>
    <row r="6" spans="1:11" ht="36" x14ac:dyDescent="0.25">
      <c r="A6" s="160" t="str">
        <f>logic!Q24</f>
        <v>Номер</v>
      </c>
      <c r="B6" s="161" t="str">
        <f>logic!R24</f>
        <v>Модель</v>
      </c>
      <c r="C6" s="161" t="str">
        <f>logic!S24</f>
        <v>Код изделия</v>
      </c>
      <c r="D6" s="161" t="str">
        <f>logic!U24</f>
        <v>Высота [mm] [mm]</v>
      </c>
      <c r="E6" s="161" t="str">
        <f>logic!V24</f>
        <v>Длина [mm] [mm]</v>
      </c>
      <c r="F6" s="161" t="str">
        <f>logic!W24</f>
        <v>Т1</v>
      </c>
      <c r="G6" s="161" t="str">
        <f>logic!X24</f>
        <v>Т2</v>
      </c>
      <c r="H6" s="161" t="str">
        <f>logic!Y24</f>
        <v>ti</v>
      </c>
      <c r="I6" s="162" t="str">
        <f>logic!Z24&amp;" "&amp;logic!$E$45</f>
        <v>Тепловая мощность [W]</v>
      </c>
      <c r="J6" s="163" t="str">
        <f>logic!U4</f>
        <v>Способ подключения</v>
      </c>
      <c r="K6" s="164" t="str">
        <f>logic!AA24</f>
        <v>Примечание</v>
      </c>
    </row>
    <row r="7" spans="1:11" x14ac:dyDescent="0.25">
      <c r="A7" s="155"/>
      <c r="B7" s="139"/>
      <c r="C7" s="142"/>
      <c r="D7" s="129"/>
      <c r="E7" s="238"/>
      <c r="F7" s="140"/>
      <c r="G7" s="140"/>
      <c r="H7" s="140"/>
      <c r="I7" s="156"/>
      <c r="J7" s="135"/>
      <c r="K7" s="135"/>
    </row>
    <row r="8" spans="1:11" x14ac:dyDescent="0.25">
      <c r="A8" s="155"/>
      <c r="B8" s="139"/>
      <c r="C8" s="142"/>
      <c r="D8" s="129"/>
      <c r="E8" s="238"/>
      <c r="F8" s="140"/>
      <c r="G8" s="140"/>
      <c r="H8" s="140"/>
      <c r="I8" s="156"/>
      <c r="J8" s="135"/>
      <c r="K8" s="135"/>
    </row>
    <row r="9" spans="1:11" x14ac:dyDescent="0.25">
      <c r="A9" s="155"/>
      <c r="B9" s="139"/>
      <c r="C9" s="142"/>
      <c r="D9" s="129"/>
      <c r="E9" s="238"/>
      <c r="F9" s="140"/>
      <c r="G9" s="140"/>
      <c r="H9" s="140"/>
      <c r="I9" s="156"/>
      <c r="J9" s="135"/>
      <c r="K9" s="135"/>
    </row>
    <row r="10" spans="1:11" x14ac:dyDescent="0.25">
      <c r="A10" s="155"/>
      <c r="B10" s="139"/>
      <c r="C10" s="142"/>
      <c r="D10" s="129"/>
      <c r="E10" s="238"/>
      <c r="F10" s="140"/>
      <c r="G10" s="140"/>
      <c r="H10" s="140"/>
      <c r="I10" s="156"/>
      <c r="J10" s="135"/>
      <c r="K10" s="135"/>
    </row>
    <row r="11" spans="1:11" x14ac:dyDescent="0.25">
      <c r="A11" s="155"/>
      <c r="B11" s="139"/>
      <c r="C11" s="142"/>
      <c r="D11" s="237"/>
      <c r="E11" s="238"/>
      <c r="F11" s="140"/>
      <c r="G11" s="140"/>
      <c r="H11" s="140"/>
      <c r="I11" s="156"/>
      <c r="J11" s="135"/>
      <c r="K11" s="135"/>
    </row>
    <row r="12" spans="1:11" x14ac:dyDescent="0.25">
      <c r="A12" s="155"/>
      <c r="B12" s="139"/>
      <c r="C12" s="142"/>
      <c r="D12" s="237"/>
      <c r="E12" s="238"/>
      <c r="F12" s="140"/>
      <c r="G12" s="140"/>
      <c r="H12" s="140"/>
      <c r="I12" s="156"/>
      <c r="J12" s="135"/>
      <c r="K12" s="135"/>
    </row>
    <row r="13" spans="1:11" x14ac:dyDescent="0.25">
      <c r="A13" s="155"/>
      <c r="B13" s="139"/>
      <c r="C13" s="142"/>
      <c r="D13" s="237"/>
      <c r="E13" s="238"/>
      <c r="F13" s="140"/>
      <c r="G13" s="140"/>
      <c r="H13" s="140"/>
      <c r="I13" s="156"/>
      <c r="J13" s="135"/>
      <c r="K13" s="135"/>
    </row>
    <row r="14" spans="1:11" x14ac:dyDescent="0.25">
      <c r="A14" s="155"/>
      <c r="B14" s="139"/>
      <c r="C14" s="142"/>
      <c r="D14" s="237"/>
      <c r="E14" s="238"/>
      <c r="F14" s="140"/>
      <c r="G14" s="140"/>
      <c r="H14" s="140"/>
      <c r="I14" s="156"/>
      <c r="J14" s="135"/>
      <c r="K14" s="135"/>
    </row>
    <row r="15" spans="1:11" x14ac:dyDescent="0.25">
      <c r="A15" s="155"/>
      <c r="B15" s="139"/>
      <c r="C15" s="142"/>
      <c r="D15" s="237"/>
      <c r="E15" s="238"/>
      <c r="F15" s="140"/>
      <c r="G15" s="140"/>
      <c r="H15" s="140"/>
      <c r="I15" s="156"/>
      <c r="J15" s="135"/>
      <c r="K15" s="135"/>
    </row>
    <row r="16" spans="1:11" x14ac:dyDescent="0.25">
      <c r="A16" s="155"/>
      <c r="B16" s="139"/>
      <c r="C16" s="142"/>
      <c r="D16" s="237"/>
      <c r="E16" s="238"/>
      <c r="F16" s="140"/>
      <c r="G16" s="140"/>
      <c r="H16" s="140"/>
      <c r="I16" s="156"/>
      <c r="J16" s="135"/>
      <c r="K16" s="135"/>
    </row>
    <row r="17" spans="1:11" x14ac:dyDescent="0.25">
      <c r="A17" s="155"/>
      <c r="B17" s="139"/>
      <c r="C17" s="142"/>
      <c r="D17" s="237"/>
      <c r="E17" s="238"/>
      <c r="F17" s="140"/>
      <c r="G17" s="140"/>
      <c r="H17" s="140"/>
      <c r="I17" s="156"/>
      <c r="J17" s="135"/>
      <c r="K17" s="135"/>
    </row>
    <row r="18" spans="1:11" x14ac:dyDescent="0.25">
      <c r="A18" s="155"/>
      <c r="B18" s="139"/>
      <c r="C18" s="142"/>
      <c r="D18" s="237"/>
      <c r="E18" s="238"/>
      <c r="F18" s="140"/>
      <c r="G18" s="140"/>
      <c r="H18" s="140"/>
      <c r="I18" s="156"/>
      <c r="J18" s="135"/>
      <c r="K18" s="135"/>
    </row>
    <row r="19" spans="1:11" x14ac:dyDescent="0.25">
      <c r="A19" s="155"/>
      <c r="B19" s="139"/>
      <c r="C19" s="142"/>
      <c r="D19" s="237"/>
      <c r="E19" s="238"/>
      <c r="F19" s="140"/>
      <c r="G19" s="140"/>
      <c r="H19" s="140"/>
      <c r="I19" s="156"/>
      <c r="J19" s="135"/>
      <c r="K19" s="135"/>
    </row>
    <row r="20" spans="1:11" x14ac:dyDescent="0.25">
      <c r="A20" s="155"/>
      <c r="B20" s="139"/>
      <c r="C20" s="142"/>
      <c r="D20" s="237"/>
      <c r="E20" s="238"/>
      <c r="F20" s="140"/>
      <c r="G20" s="140"/>
      <c r="H20" s="140"/>
      <c r="I20" s="156"/>
      <c r="J20" s="135"/>
      <c r="K20" s="135"/>
    </row>
    <row r="21" spans="1:11" x14ac:dyDescent="0.25">
      <c r="A21" s="155"/>
      <c r="B21" s="139"/>
      <c r="C21" s="142"/>
      <c r="D21" s="237"/>
      <c r="E21" s="238"/>
      <c r="F21" s="140"/>
      <c r="G21" s="140"/>
      <c r="H21" s="140"/>
      <c r="I21" s="156"/>
      <c r="J21" s="135"/>
      <c r="K21" s="135"/>
    </row>
    <row r="22" spans="1:11" x14ac:dyDescent="0.25">
      <c r="A22" s="155"/>
      <c r="B22" s="139"/>
      <c r="C22" s="142"/>
      <c r="D22" s="237"/>
      <c r="E22" s="238"/>
      <c r="F22" s="140"/>
      <c r="G22" s="140"/>
      <c r="H22" s="140"/>
      <c r="I22" s="156"/>
      <c r="J22" s="135"/>
      <c r="K22" s="135"/>
    </row>
    <row r="23" spans="1:11" x14ac:dyDescent="0.25">
      <c r="A23" s="155"/>
      <c r="B23" s="139"/>
      <c r="C23" s="142"/>
      <c r="D23" s="237"/>
      <c r="E23" s="238"/>
      <c r="F23" s="140"/>
      <c r="G23" s="140"/>
      <c r="H23" s="140"/>
      <c r="I23" s="156"/>
      <c r="J23" s="135"/>
      <c r="K23" s="135"/>
    </row>
    <row r="24" spans="1:11" x14ac:dyDescent="0.25">
      <c r="A24" s="155"/>
      <c r="B24" s="139"/>
      <c r="C24" s="142"/>
      <c r="D24" s="237"/>
      <c r="E24" s="238"/>
      <c r="F24" s="140"/>
      <c r="G24" s="140"/>
      <c r="H24" s="140"/>
      <c r="I24" s="156"/>
      <c r="J24" s="135"/>
      <c r="K24" s="135"/>
    </row>
    <row r="25" spans="1:11" x14ac:dyDescent="0.25">
      <c r="A25" s="155"/>
      <c r="B25" s="139"/>
      <c r="C25" s="142"/>
      <c r="D25" s="237"/>
      <c r="E25" s="238"/>
      <c r="F25" s="140"/>
      <c r="G25" s="140"/>
      <c r="H25" s="140"/>
      <c r="I25" s="156"/>
      <c r="J25" s="135"/>
      <c r="K25" s="135"/>
    </row>
    <row r="26" spans="1:11" x14ac:dyDescent="0.25">
      <c r="A26" s="155"/>
      <c r="B26" s="139"/>
      <c r="C26" s="142"/>
      <c r="D26" s="237"/>
      <c r="E26" s="238"/>
      <c r="F26" s="140"/>
      <c r="G26" s="140"/>
      <c r="H26" s="140"/>
      <c r="I26" s="156"/>
      <c r="J26" s="135"/>
      <c r="K26" s="135"/>
    </row>
    <row r="27" spans="1:11" x14ac:dyDescent="0.25">
      <c r="A27" s="155"/>
      <c r="B27" s="139"/>
      <c r="C27" s="142"/>
      <c r="D27" s="237"/>
      <c r="E27" s="238"/>
      <c r="F27" s="140"/>
      <c r="G27" s="140"/>
      <c r="H27" s="140"/>
      <c r="I27" s="156"/>
      <c r="J27" s="135"/>
      <c r="K27" s="135"/>
    </row>
    <row r="28" spans="1:11" x14ac:dyDescent="0.25">
      <c r="A28" s="155"/>
      <c r="B28" s="139"/>
      <c r="C28" s="142"/>
      <c r="D28" s="237"/>
      <c r="E28" s="238"/>
      <c r="F28" s="140"/>
      <c r="G28" s="140"/>
      <c r="H28" s="140"/>
      <c r="I28" s="156"/>
      <c r="J28" s="135"/>
      <c r="K28" s="135"/>
    </row>
    <row r="29" spans="1:11" x14ac:dyDescent="0.25">
      <c r="A29" s="155"/>
      <c r="B29" s="139"/>
      <c r="C29" s="142"/>
      <c r="D29" s="237"/>
      <c r="E29" s="238"/>
      <c r="F29" s="140"/>
      <c r="G29" s="140"/>
      <c r="H29" s="140"/>
      <c r="I29" s="156"/>
      <c r="J29" s="135"/>
      <c r="K29" s="135"/>
    </row>
    <row r="30" spans="1:11" x14ac:dyDescent="0.25">
      <c r="A30" s="155"/>
      <c r="B30" s="139"/>
      <c r="C30" s="142"/>
      <c r="D30" s="237"/>
      <c r="E30" s="238"/>
      <c r="F30" s="140"/>
      <c r="G30" s="140"/>
      <c r="H30" s="140"/>
      <c r="I30" s="156"/>
      <c r="J30" s="135"/>
      <c r="K30" s="135"/>
    </row>
    <row r="31" spans="1:11" x14ac:dyDescent="0.25">
      <c r="A31" s="155"/>
      <c r="B31" s="139"/>
      <c r="C31" s="142"/>
      <c r="D31" s="237"/>
      <c r="E31" s="238"/>
      <c r="F31" s="140"/>
      <c r="G31" s="140"/>
      <c r="H31" s="140"/>
      <c r="I31" s="156"/>
      <c r="J31" s="135"/>
      <c r="K31" s="135"/>
    </row>
    <row r="32" spans="1:11" x14ac:dyDescent="0.25">
      <c r="A32" s="155"/>
      <c r="B32" s="139"/>
      <c r="C32" s="142"/>
      <c r="D32" s="237"/>
      <c r="E32" s="238"/>
      <c r="F32" s="140"/>
      <c r="G32" s="140"/>
      <c r="H32" s="140"/>
      <c r="I32" s="156"/>
      <c r="J32" s="135"/>
      <c r="K32" s="135"/>
    </row>
    <row r="33" spans="1:11" x14ac:dyDescent="0.25">
      <c r="A33" s="155"/>
      <c r="B33" s="139"/>
      <c r="C33" s="142"/>
      <c r="D33" s="237"/>
      <c r="E33" s="238"/>
      <c r="F33" s="140"/>
      <c r="G33" s="140"/>
      <c r="H33" s="140"/>
      <c r="I33" s="156"/>
      <c r="J33" s="135"/>
      <c r="K33" s="135"/>
    </row>
    <row r="34" spans="1:11" x14ac:dyDescent="0.25">
      <c r="A34" s="155"/>
      <c r="B34" s="139"/>
      <c r="C34" s="142"/>
      <c r="D34" s="237"/>
      <c r="E34" s="238"/>
      <c r="F34" s="140"/>
      <c r="G34" s="140"/>
      <c r="H34" s="140"/>
      <c r="I34" s="156"/>
      <c r="J34" s="135"/>
      <c r="K34" s="135"/>
    </row>
    <row r="35" spans="1:11" x14ac:dyDescent="0.25">
      <c r="A35" s="155"/>
      <c r="B35" s="139"/>
      <c r="C35" s="142"/>
      <c r="D35" s="237"/>
      <c r="E35" s="238"/>
      <c r="F35" s="140"/>
      <c r="G35" s="140"/>
      <c r="H35" s="140"/>
      <c r="I35" s="156"/>
      <c r="J35" s="135"/>
      <c r="K35" s="135"/>
    </row>
    <row r="36" spans="1:11" x14ac:dyDescent="0.25">
      <c r="A36" s="155"/>
      <c r="B36" s="139"/>
      <c r="C36" s="142"/>
      <c r="D36" s="237"/>
      <c r="E36" s="238"/>
      <c r="F36" s="140"/>
      <c r="G36" s="140"/>
      <c r="H36" s="140"/>
      <c r="I36" s="156"/>
      <c r="J36" s="135"/>
      <c r="K36" s="135"/>
    </row>
    <row r="37" spans="1:11" x14ac:dyDescent="0.25">
      <c r="A37" s="155"/>
      <c r="B37" s="139"/>
      <c r="C37" s="142"/>
      <c r="D37" s="237"/>
      <c r="E37" s="238"/>
      <c r="F37" s="140"/>
      <c r="G37" s="140"/>
      <c r="H37" s="140"/>
      <c r="I37" s="156"/>
      <c r="J37" s="135"/>
      <c r="K37" s="135"/>
    </row>
    <row r="38" spans="1:11" x14ac:dyDescent="0.25">
      <c r="A38" s="155"/>
      <c r="B38" s="139"/>
      <c r="C38" s="142"/>
      <c r="D38" s="237"/>
      <c r="E38" s="238"/>
      <c r="F38" s="140"/>
      <c r="G38" s="140"/>
      <c r="H38" s="140"/>
      <c r="I38" s="156"/>
      <c r="J38" s="135"/>
      <c r="K38" s="135"/>
    </row>
    <row r="39" spans="1:11" x14ac:dyDescent="0.25">
      <c r="A39" s="155"/>
      <c r="B39" s="139"/>
      <c r="C39" s="142"/>
      <c r="D39" s="237"/>
      <c r="E39" s="238"/>
      <c r="F39" s="140"/>
      <c r="G39" s="140"/>
      <c r="H39" s="140"/>
      <c r="I39" s="156"/>
      <c r="J39" s="135"/>
      <c r="K39" s="135"/>
    </row>
    <row r="40" spans="1:11" x14ac:dyDescent="0.25">
      <c r="A40" s="155"/>
      <c r="B40" s="139"/>
      <c r="C40" s="142"/>
      <c r="D40" s="237"/>
      <c r="E40" s="238"/>
      <c r="F40" s="140"/>
      <c r="G40" s="140"/>
      <c r="H40" s="140"/>
      <c r="I40" s="156"/>
      <c r="J40" s="135"/>
      <c r="K40" s="135"/>
    </row>
    <row r="41" spans="1:11" x14ac:dyDescent="0.25">
      <c r="A41" s="155"/>
      <c r="B41" s="139"/>
      <c r="C41" s="142"/>
      <c r="D41" s="237"/>
      <c r="E41" s="238"/>
      <c r="F41" s="140"/>
      <c r="G41" s="140"/>
      <c r="H41" s="140"/>
      <c r="I41" s="156"/>
      <c r="J41" s="135"/>
      <c r="K41" s="135"/>
    </row>
    <row r="42" spans="1:11" x14ac:dyDescent="0.25">
      <c r="A42" s="155"/>
      <c r="B42" s="139"/>
      <c r="C42" s="142"/>
      <c r="D42" s="237"/>
      <c r="E42" s="238"/>
      <c r="F42" s="140"/>
      <c r="G42" s="140"/>
      <c r="H42" s="140"/>
      <c r="I42" s="156"/>
      <c r="J42" s="135"/>
      <c r="K42" s="135"/>
    </row>
    <row r="43" spans="1:11" x14ac:dyDescent="0.25">
      <c r="A43" s="155"/>
      <c r="B43" s="139"/>
      <c r="C43" s="142"/>
      <c r="D43" s="237"/>
      <c r="E43" s="238"/>
      <c r="F43" s="140"/>
      <c r="G43" s="140"/>
      <c r="H43" s="140"/>
      <c r="I43" s="156"/>
      <c r="J43" s="135"/>
      <c r="K43" s="135"/>
    </row>
    <row r="44" spans="1:11" x14ac:dyDescent="0.25">
      <c r="A44" s="155"/>
      <c r="B44" s="139"/>
      <c r="C44" s="142"/>
      <c r="D44" s="237"/>
      <c r="E44" s="238"/>
      <c r="F44" s="140"/>
      <c r="G44" s="140"/>
      <c r="H44" s="140"/>
      <c r="I44" s="156"/>
      <c r="J44" s="135"/>
      <c r="K44" s="135"/>
    </row>
    <row r="45" spans="1:11" x14ac:dyDescent="0.25">
      <c r="A45" s="155"/>
      <c r="B45" s="139"/>
      <c r="C45" s="142"/>
      <c r="D45" s="237"/>
      <c r="E45" s="238"/>
      <c r="F45" s="140"/>
      <c r="G45" s="140"/>
      <c r="H45" s="140"/>
      <c r="I45" s="156"/>
      <c r="J45" s="135"/>
      <c r="K45" s="135"/>
    </row>
    <row r="46" spans="1:11" x14ac:dyDescent="0.25">
      <c r="A46" s="155"/>
      <c r="B46" s="139"/>
      <c r="C46" s="142"/>
      <c r="D46" s="237"/>
      <c r="E46" s="238"/>
      <c r="F46" s="140"/>
      <c r="G46" s="140"/>
      <c r="H46" s="140"/>
      <c r="I46" s="156"/>
      <c r="J46" s="135"/>
      <c r="K46" s="135"/>
    </row>
    <row r="47" spans="1:11" x14ac:dyDescent="0.25">
      <c r="A47" s="155"/>
      <c r="B47" s="139"/>
      <c r="C47" s="142"/>
      <c r="D47" s="237"/>
      <c r="E47" s="238"/>
      <c r="F47" s="140"/>
      <c r="G47" s="140"/>
      <c r="H47" s="140"/>
      <c r="I47" s="156"/>
      <c r="J47" s="135"/>
      <c r="K47" s="135"/>
    </row>
    <row r="48" spans="1:11" x14ac:dyDescent="0.25">
      <c r="A48" s="155"/>
      <c r="B48" s="139"/>
      <c r="C48" s="142"/>
      <c r="D48" s="237"/>
      <c r="E48" s="238"/>
      <c r="F48" s="140"/>
      <c r="G48" s="140"/>
      <c r="H48" s="140"/>
      <c r="I48" s="156"/>
      <c r="J48" s="135"/>
      <c r="K48" s="135"/>
    </row>
    <row r="49" spans="1:11" x14ac:dyDescent="0.25">
      <c r="A49" s="155"/>
      <c r="B49" s="139"/>
      <c r="C49" s="142"/>
      <c r="D49" s="237"/>
      <c r="E49" s="238"/>
      <c r="F49" s="140"/>
      <c r="G49" s="140"/>
      <c r="H49" s="140"/>
      <c r="I49" s="156"/>
      <c r="J49" s="135"/>
      <c r="K49" s="135"/>
    </row>
    <row r="50" spans="1:11" x14ac:dyDescent="0.25">
      <c r="A50" s="155"/>
      <c r="B50" s="139"/>
      <c r="C50" s="142"/>
      <c r="D50" s="237"/>
      <c r="E50" s="238"/>
      <c r="F50" s="140"/>
      <c r="G50" s="140"/>
      <c r="H50" s="140"/>
      <c r="I50" s="156"/>
      <c r="J50" s="135"/>
      <c r="K50" s="135"/>
    </row>
    <row r="51" spans="1:11" x14ac:dyDescent="0.25">
      <c r="A51" s="155"/>
      <c r="B51" s="139"/>
      <c r="C51" s="142"/>
      <c r="D51" s="237"/>
      <c r="E51" s="238"/>
      <c r="F51" s="140"/>
      <c r="G51" s="140"/>
      <c r="H51" s="140"/>
      <c r="I51" s="156"/>
      <c r="J51" s="135"/>
      <c r="K51" s="135"/>
    </row>
    <row r="52" spans="1:11" x14ac:dyDescent="0.25">
      <c r="A52" s="155"/>
      <c r="B52" s="139"/>
      <c r="C52" s="142"/>
      <c r="D52" s="237"/>
      <c r="E52" s="238"/>
      <c r="F52" s="140"/>
      <c r="G52" s="140"/>
      <c r="H52" s="140"/>
      <c r="I52" s="156"/>
      <c r="J52" s="135"/>
      <c r="K52" s="135"/>
    </row>
    <row r="53" spans="1:11" x14ac:dyDescent="0.25">
      <c r="A53" s="155"/>
      <c r="B53" s="139"/>
      <c r="C53" s="142"/>
      <c r="D53" s="237"/>
      <c r="E53" s="238"/>
      <c r="F53" s="140"/>
      <c r="G53" s="140"/>
      <c r="H53" s="140"/>
      <c r="I53" s="156"/>
      <c r="J53" s="135"/>
      <c r="K53" s="135"/>
    </row>
    <row r="54" spans="1:11" x14ac:dyDescent="0.25">
      <c r="A54" s="155"/>
      <c r="B54" s="139"/>
      <c r="C54" s="142"/>
      <c r="D54" s="237"/>
      <c r="E54" s="238"/>
      <c r="F54" s="140"/>
      <c r="G54" s="140"/>
      <c r="H54" s="140"/>
      <c r="I54" s="156"/>
      <c r="J54" s="135"/>
      <c r="K54" s="135"/>
    </row>
    <row r="55" spans="1:11" x14ac:dyDescent="0.25">
      <c r="A55" s="155"/>
      <c r="B55" s="139"/>
      <c r="C55" s="142"/>
      <c r="D55" s="237"/>
      <c r="E55" s="238"/>
      <c r="F55" s="140"/>
      <c r="G55" s="140"/>
      <c r="H55" s="140"/>
      <c r="I55" s="156"/>
      <c r="J55" s="135"/>
      <c r="K55" s="135"/>
    </row>
    <row r="56" spans="1:11" x14ac:dyDescent="0.25">
      <c r="A56" s="155"/>
      <c r="B56" s="139"/>
      <c r="C56" s="142"/>
      <c r="D56" s="237"/>
      <c r="E56" s="238"/>
      <c r="F56" s="140"/>
      <c r="G56" s="140"/>
      <c r="H56" s="140"/>
      <c r="I56" s="156"/>
      <c r="J56" s="135"/>
      <c r="K56" s="135"/>
    </row>
    <row r="57" spans="1:11" x14ac:dyDescent="0.25">
      <c r="A57" s="155"/>
      <c r="B57" s="139"/>
      <c r="C57" s="142"/>
      <c r="D57" s="237"/>
      <c r="E57" s="238"/>
      <c r="F57" s="140"/>
      <c r="G57" s="140"/>
      <c r="H57" s="140"/>
      <c r="I57" s="156"/>
      <c r="J57" s="135"/>
      <c r="K57" s="135"/>
    </row>
    <row r="58" spans="1:11" x14ac:dyDescent="0.25">
      <c r="A58" s="155"/>
      <c r="B58" s="139"/>
      <c r="C58" s="142"/>
      <c r="D58" s="237"/>
      <c r="E58" s="238"/>
      <c r="F58" s="140"/>
      <c r="G58" s="140"/>
      <c r="H58" s="140"/>
      <c r="I58" s="156"/>
      <c r="J58" s="135"/>
      <c r="K58" s="135"/>
    </row>
    <row r="59" spans="1:11" x14ac:dyDescent="0.25">
      <c r="A59" s="155"/>
      <c r="B59" s="139"/>
      <c r="C59" s="142"/>
      <c r="D59" s="237"/>
      <c r="E59" s="238"/>
      <c r="F59" s="140"/>
      <c r="G59" s="140"/>
      <c r="H59" s="140"/>
      <c r="I59" s="156"/>
      <c r="J59" s="135"/>
      <c r="K59" s="135"/>
    </row>
    <row r="60" spans="1:11" x14ac:dyDescent="0.25">
      <c r="A60" s="155"/>
      <c r="B60" s="139"/>
      <c r="C60" s="142"/>
      <c r="D60" s="237"/>
      <c r="E60" s="238"/>
      <c r="F60" s="140"/>
      <c r="G60" s="140"/>
      <c r="H60" s="140"/>
      <c r="I60" s="156"/>
      <c r="J60" s="135"/>
      <c r="K60" s="135"/>
    </row>
    <row r="61" spans="1:11" x14ac:dyDescent="0.25">
      <c r="A61" s="155"/>
      <c r="B61" s="139"/>
      <c r="C61" s="142"/>
      <c r="D61" s="237"/>
      <c r="E61" s="238"/>
      <c r="F61" s="140"/>
      <c r="G61" s="140"/>
      <c r="H61" s="140"/>
      <c r="I61" s="156"/>
      <c r="J61" s="135"/>
      <c r="K61" s="135"/>
    </row>
    <row r="62" spans="1:11" x14ac:dyDescent="0.25">
      <c r="A62" s="155"/>
      <c r="B62" s="139"/>
      <c r="C62" s="142"/>
      <c r="D62" s="237"/>
      <c r="E62" s="238"/>
      <c r="F62" s="140"/>
      <c r="G62" s="140"/>
      <c r="H62" s="140"/>
      <c r="I62" s="156"/>
      <c r="J62" s="135"/>
      <c r="K62" s="135"/>
    </row>
    <row r="63" spans="1:11" x14ac:dyDescent="0.25">
      <c r="A63" s="155"/>
      <c r="B63" s="139"/>
      <c r="C63" s="142"/>
      <c r="D63" s="237"/>
      <c r="E63" s="238"/>
      <c r="F63" s="140"/>
      <c r="G63" s="140"/>
      <c r="H63" s="140"/>
      <c r="I63" s="156"/>
      <c r="J63" s="135"/>
      <c r="K63" s="135"/>
    </row>
    <row r="64" spans="1:11" x14ac:dyDescent="0.25">
      <c r="A64" s="155"/>
      <c r="B64" s="139"/>
      <c r="C64" s="142"/>
      <c r="D64" s="237"/>
      <c r="E64" s="238"/>
      <c r="F64" s="140"/>
      <c r="G64" s="140"/>
      <c r="H64" s="140"/>
      <c r="I64" s="156"/>
      <c r="J64" s="135"/>
      <c r="K64" s="135"/>
    </row>
    <row r="65" spans="1:11" x14ac:dyDescent="0.25">
      <c r="A65" s="155"/>
      <c r="B65" s="139"/>
      <c r="C65" s="142"/>
      <c r="D65" s="237"/>
      <c r="E65" s="238"/>
      <c r="F65" s="140"/>
      <c r="G65" s="140"/>
      <c r="H65" s="140"/>
      <c r="I65" s="156"/>
      <c r="J65" s="135"/>
      <c r="K65" s="135"/>
    </row>
    <row r="66" spans="1:11" x14ac:dyDescent="0.25">
      <c r="A66" s="155"/>
      <c r="B66" s="139"/>
      <c r="C66" s="142"/>
      <c r="D66" s="237"/>
      <c r="E66" s="238"/>
      <c r="F66" s="140"/>
      <c r="G66" s="140"/>
      <c r="H66" s="140"/>
      <c r="I66" s="156"/>
      <c r="J66" s="135"/>
      <c r="K66" s="135"/>
    </row>
    <row r="67" spans="1:11" x14ac:dyDescent="0.25">
      <c r="A67" s="155"/>
      <c r="D67" s="237"/>
      <c r="E67" s="238"/>
      <c r="I67" s="157"/>
      <c r="J67" s="141"/>
      <c r="K67" s="141"/>
    </row>
    <row r="68" spans="1:11" x14ac:dyDescent="0.25">
      <c r="A68" s="155"/>
      <c r="D68" s="237"/>
      <c r="E68" s="238"/>
      <c r="I68" s="157"/>
      <c r="J68" s="141"/>
      <c r="K68" s="141"/>
    </row>
    <row r="69" spans="1:11" x14ac:dyDescent="0.25">
      <c r="A69" s="155"/>
      <c r="D69" s="237"/>
      <c r="E69" s="238"/>
      <c r="I69" s="157"/>
      <c r="J69" s="141"/>
      <c r="K69" s="141"/>
    </row>
    <row r="70" spans="1:11" x14ac:dyDescent="0.25">
      <c r="A70" s="155"/>
      <c r="D70" s="237"/>
      <c r="E70" s="238"/>
      <c r="I70" s="157"/>
      <c r="J70" s="141"/>
      <c r="K70" s="141"/>
    </row>
    <row r="71" spans="1:11" x14ac:dyDescent="0.25">
      <c r="A71" s="155"/>
      <c r="D71" s="237"/>
      <c r="E71" s="238"/>
      <c r="I71" s="157"/>
      <c r="J71" s="141"/>
      <c r="K71" s="141"/>
    </row>
    <row r="72" spans="1:11" x14ac:dyDescent="0.25">
      <c r="A72" s="155"/>
      <c r="D72" s="237"/>
      <c r="E72" s="238"/>
      <c r="I72" s="157"/>
      <c r="J72" s="141"/>
      <c r="K72" s="141"/>
    </row>
    <row r="73" spans="1:11" x14ac:dyDescent="0.25">
      <c r="A73" s="155"/>
      <c r="D73" s="237"/>
      <c r="E73" s="238"/>
      <c r="I73" s="157"/>
      <c r="J73" s="141"/>
      <c r="K73" s="141"/>
    </row>
    <row r="74" spans="1:11" x14ac:dyDescent="0.25">
      <c r="A74" s="155"/>
      <c r="D74" s="237"/>
      <c r="E74" s="238"/>
      <c r="I74" s="157"/>
      <c r="J74" s="141"/>
      <c r="K74" s="141"/>
    </row>
    <row r="75" spans="1:11" x14ac:dyDescent="0.25">
      <c r="A75" s="155"/>
      <c r="D75" s="237"/>
      <c r="E75" s="237"/>
      <c r="I75" s="157"/>
      <c r="J75" s="141"/>
      <c r="K75" s="141"/>
    </row>
    <row r="76" spans="1:11" x14ac:dyDescent="0.25">
      <c r="A76" s="155"/>
      <c r="D76" s="237"/>
      <c r="E76" s="237"/>
      <c r="I76" s="157"/>
      <c r="J76" s="141"/>
      <c r="K76" s="141"/>
    </row>
    <row r="77" spans="1:11" x14ac:dyDescent="0.25">
      <c r="A77" s="155"/>
      <c r="D77" s="237"/>
      <c r="E77" s="237"/>
      <c r="I77" s="157"/>
      <c r="J77" s="141"/>
      <c r="K77" s="141"/>
    </row>
    <row r="78" spans="1:11" x14ac:dyDescent="0.25">
      <c r="A78" s="155"/>
      <c r="D78" s="237"/>
      <c r="E78" s="237"/>
      <c r="I78" s="157"/>
      <c r="J78" s="141"/>
      <c r="K78" s="141"/>
    </row>
    <row r="79" spans="1:11" x14ac:dyDescent="0.25">
      <c r="A79" s="155"/>
      <c r="D79" s="237"/>
      <c r="E79" s="237"/>
      <c r="I79" s="157"/>
      <c r="J79" s="141"/>
      <c r="K79" s="141"/>
    </row>
    <row r="80" spans="1:11" x14ac:dyDescent="0.25">
      <c r="A80" s="155"/>
      <c r="D80" s="237"/>
      <c r="E80" s="237"/>
      <c r="I80" s="157"/>
      <c r="J80" s="141"/>
      <c r="K80" s="141"/>
    </row>
    <row r="81" spans="1:11" x14ac:dyDescent="0.25">
      <c r="A81" s="155"/>
      <c r="D81" s="237"/>
      <c r="E81" s="237"/>
      <c r="I81" s="157"/>
      <c r="J81" s="141"/>
      <c r="K81" s="141"/>
    </row>
    <row r="82" spans="1:11" x14ac:dyDescent="0.25">
      <c r="A82" s="155"/>
      <c r="D82" s="237"/>
      <c r="E82" s="237"/>
      <c r="I82" s="157"/>
      <c r="J82" s="141"/>
      <c r="K82" s="141"/>
    </row>
    <row r="83" spans="1:11" x14ac:dyDescent="0.25">
      <c r="A83" s="155"/>
      <c r="D83" s="237"/>
      <c r="E83" s="237"/>
      <c r="I83" s="157"/>
      <c r="J83" s="141"/>
      <c r="K83" s="141"/>
    </row>
    <row r="84" spans="1:11" x14ac:dyDescent="0.25">
      <c r="A84" s="155"/>
      <c r="D84" s="237"/>
      <c r="E84" s="237"/>
      <c r="I84" s="157"/>
      <c r="J84" s="141"/>
      <c r="K84" s="141"/>
    </row>
    <row r="85" spans="1:11" x14ac:dyDescent="0.25">
      <c r="A85" s="155"/>
      <c r="D85" s="237"/>
      <c r="E85" s="237"/>
      <c r="I85" s="157"/>
      <c r="J85" s="141"/>
      <c r="K85" s="141"/>
    </row>
    <row r="86" spans="1:11" x14ac:dyDescent="0.25">
      <c r="A86" s="155"/>
      <c r="D86" s="237"/>
      <c r="E86" s="237"/>
      <c r="I86" s="157"/>
      <c r="J86" s="141"/>
      <c r="K86" s="141"/>
    </row>
    <row r="87" spans="1:11" x14ac:dyDescent="0.25">
      <c r="A87" s="155"/>
      <c r="D87" s="237"/>
      <c r="E87" s="237"/>
      <c r="I87" s="157"/>
      <c r="J87" s="141"/>
      <c r="K87" s="141"/>
    </row>
    <row r="88" spans="1:11" x14ac:dyDescent="0.25">
      <c r="A88" s="155"/>
      <c r="D88" s="237"/>
      <c r="E88" s="237"/>
      <c r="I88" s="157"/>
      <c r="J88" s="141"/>
      <c r="K88" s="141"/>
    </row>
    <row r="89" spans="1:11" x14ac:dyDescent="0.25">
      <c r="A89" s="155"/>
      <c r="D89" s="237"/>
      <c r="E89" s="237"/>
      <c r="I89" s="157"/>
      <c r="J89" s="141"/>
      <c r="K89" s="141"/>
    </row>
    <row r="90" spans="1:11" x14ac:dyDescent="0.25">
      <c r="A90" s="155"/>
      <c r="D90" s="237"/>
      <c r="E90" s="237"/>
      <c r="I90" s="157"/>
      <c r="J90" s="141"/>
      <c r="K90" s="141"/>
    </row>
    <row r="91" spans="1:11" x14ac:dyDescent="0.25">
      <c r="A91" s="155"/>
      <c r="D91" s="237"/>
      <c r="E91" s="237"/>
      <c r="I91" s="157"/>
      <c r="J91" s="141"/>
      <c r="K91" s="141"/>
    </row>
    <row r="92" spans="1:11" x14ac:dyDescent="0.25">
      <c r="A92" s="155"/>
      <c r="D92" s="237"/>
      <c r="E92" s="237"/>
      <c r="I92" s="157"/>
      <c r="J92" s="141"/>
      <c r="K92" s="141"/>
    </row>
    <row r="93" spans="1:11" x14ac:dyDescent="0.25">
      <c r="A93" s="155"/>
      <c r="D93" s="237"/>
      <c r="E93" s="237"/>
      <c r="I93" s="157"/>
      <c r="J93" s="141"/>
      <c r="K93" s="141"/>
    </row>
    <row r="94" spans="1:11" x14ac:dyDescent="0.25">
      <c r="A94" s="155"/>
      <c r="D94" s="237"/>
      <c r="E94" s="237"/>
      <c r="I94" s="157"/>
      <c r="J94" s="141"/>
      <c r="K94" s="141"/>
    </row>
    <row r="95" spans="1:11" x14ac:dyDescent="0.25">
      <c r="A95" s="155"/>
      <c r="D95" s="237"/>
      <c r="E95" s="237"/>
      <c r="I95" s="157"/>
      <c r="J95" s="141"/>
      <c r="K95" s="141"/>
    </row>
    <row r="96" spans="1:11" x14ac:dyDescent="0.25">
      <c r="A96" s="155"/>
      <c r="D96" s="237"/>
      <c r="E96" s="237"/>
      <c r="I96" s="157"/>
      <c r="J96" s="141"/>
      <c r="K96" s="141"/>
    </row>
    <row r="97" spans="4:5" x14ac:dyDescent="0.25">
      <c r="D97" s="237"/>
      <c r="E97" s="237"/>
    </row>
    <row r="98" spans="4:5" x14ac:dyDescent="0.25">
      <c r="D98" s="237"/>
      <c r="E98" s="237"/>
    </row>
    <row r="99" spans="4:5" x14ac:dyDescent="0.25">
      <c r="D99" s="237"/>
      <c r="E99" s="237"/>
    </row>
    <row r="100" spans="4:5" x14ac:dyDescent="0.25">
      <c r="D100" s="237"/>
      <c r="E100" s="237"/>
    </row>
    <row r="101" spans="4:5" x14ac:dyDescent="0.25">
      <c r="D101" s="237"/>
      <c r="E101" s="237"/>
    </row>
    <row r="102" spans="4:5" x14ac:dyDescent="0.25">
      <c r="D102" s="237"/>
      <c r="E102" s="237"/>
    </row>
    <row r="103" spans="4:5" x14ac:dyDescent="0.25">
      <c r="D103" s="237"/>
      <c r="E103" s="237"/>
    </row>
    <row r="104" spans="4:5" x14ac:dyDescent="0.25">
      <c r="D104" s="237"/>
      <c r="E104" s="237"/>
    </row>
    <row r="105" spans="4:5" x14ac:dyDescent="0.25">
      <c r="D105" s="237"/>
      <c r="E105" s="237"/>
    </row>
    <row r="106" spans="4:5" x14ac:dyDescent="0.25">
      <c r="D106" s="237"/>
      <c r="E106" s="237"/>
    </row>
    <row r="107" spans="4:5" x14ac:dyDescent="0.25">
      <c r="D107" s="237"/>
      <c r="E107" s="237"/>
    </row>
    <row r="108" spans="4:5" x14ac:dyDescent="0.25">
      <c r="D108" s="237"/>
      <c r="E108" s="237"/>
    </row>
    <row r="109" spans="4:5" x14ac:dyDescent="0.25">
      <c r="D109" s="237"/>
      <c r="E109" s="237"/>
    </row>
    <row r="110" spans="4:5" x14ac:dyDescent="0.25">
      <c r="D110" s="237"/>
      <c r="E110" s="237"/>
    </row>
    <row r="111" spans="4:5" x14ac:dyDescent="0.25">
      <c r="D111" s="237"/>
      <c r="E111" s="237"/>
    </row>
    <row r="112" spans="4:5" x14ac:dyDescent="0.25">
      <c r="D112" s="237"/>
      <c r="E112" s="237"/>
    </row>
    <row r="113" spans="4:5" x14ac:dyDescent="0.25">
      <c r="D113" s="237"/>
      <c r="E113" s="237"/>
    </row>
    <row r="114" spans="4:5" x14ac:dyDescent="0.25">
      <c r="D114" s="237"/>
      <c r="E114" s="237"/>
    </row>
    <row r="115" spans="4:5" x14ac:dyDescent="0.25">
      <c r="D115" s="237"/>
      <c r="E115" s="237"/>
    </row>
    <row r="116" spans="4:5" x14ac:dyDescent="0.25">
      <c r="D116" s="237"/>
      <c r="E116" s="237"/>
    </row>
    <row r="117" spans="4:5" x14ac:dyDescent="0.25">
      <c r="D117" s="237"/>
      <c r="E117" s="237"/>
    </row>
    <row r="118" spans="4:5" x14ac:dyDescent="0.25">
      <c r="D118" s="237"/>
      <c r="E118" s="237"/>
    </row>
    <row r="119" spans="4:5" x14ac:dyDescent="0.25">
      <c r="D119" s="237"/>
      <c r="E119" s="237"/>
    </row>
    <row r="120" spans="4:5" x14ac:dyDescent="0.25">
      <c r="D120" s="237"/>
      <c r="E120" s="237"/>
    </row>
    <row r="121" spans="4:5" x14ac:dyDescent="0.25">
      <c r="D121" s="237"/>
      <c r="E121" s="237"/>
    </row>
    <row r="122" spans="4:5" x14ac:dyDescent="0.25">
      <c r="D122" s="237"/>
      <c r="E122" s="237"/>
    </row>
    <row r="123" spans="4:5" x14ac:dyDescent="0.25">
      <c r="D123" s="237"/>
      <c r="E123" s="237"/>
    </row>
    <row r="124" spans="4:5" x14ac:dyDescent="0.25">
      <c r="D124" s="237"/>
      <c r="E124" s="237"/>
    </row>
    <row r="125" spans="4:5" x14ac:dyDescent="0.25">
      <c r="D125" s="237"/>
      <c r="E125" s="237"/>
    </row>
    <row r="126" spans="4:5" x14ac:dyDescent="0.25">
      <c r="D126" s="237"/>
      <c r="E126" s="237"/>
    </row>
    <row r="127" spans="4:5" x14ac:dyDescent="0.25">
      <c r="D127" s="237"/>
      <c r="E127" s="237"/>
    </row>
    <row r="128" spans="4:5" x14ac:dyDescent="0.25">
      <c r="D128" s="237"/>
      <c r="E128" s="237"/>
    </row>
    <row r="129" spans="4:5" x14ac:dyDescent="0.25">
      <c r="D129" s="237"/>
      <c r="E129" s="237"/>
    </row>
    <row r="130" spans="4:5" x14ac:dyDescent="0.25">
      <c r="D130" s="237"/>
      <c r="E130" s="237"/>
    </row>
    <row r="131" spans="4:5" x14ac:dyDescent="0.25">
      <c r="D131" s="237"/>
      <c r="E131" s="237"/>
    </row>
    <row r="132" spans="4:5" x14ac:dyDescent="0.25">
      <c r="D132" s="237"/>
      <c r="E132" s="237"/>
    </row>
    <row r="133" spans="4:5" x14ac:dyDescent="0.25">
      <c r="D133" s="237"/>
      <c r="E133" s="237"/>
    </row>
    <row r="134" spans="4:5" x14ac:dyDescent="0.25">
      <c r="D134" s="237"/>
      <c r="E134" s="237"/>
    </row>
    <row r="135" spans="4:5" x14ac:dyDescent="0.25">
      <c r="D135" s="237"/>
      <c r="E135" s="237"/>
    </row>
    <row r="136" spans="4:5" x14ac:dyDescent="0.25">
      <c r="D136" s="237"/>
      <c r="E136" s="237"/>
    </row>
    <row r="137" spans="4:5" x14ac:dyDescent="0.25">
      <c r="D137" s="237"/>
      <c r="E137" s="237"/>
    </row>
    <row r="138" spans="4:5" x14ac:dyDescent="0.25">
      <c r="D138" s="237"/>
      <c r="E138" s="237"/>
    </row>
    <row r="139" spans="4:5" x14ac:dyDescent="0.25">
      <c r="D139" s="237"/>
      <c r="E139" s="237"/>
    </row>
    <row r="140" spans="4:5" x14ac:dyDescent="0.25">
      <c r="D140" s="237"/>
      <c r="E140" s="237"/>
    </row>
    <row r="141" spans="4:5" x14ac:dyDescent="0.25">
      <c r="D141" s="237"/>
      <c r="E141" s="237"/>
    </row>
    <row r="142" spans="4:5" x14ac:dyDescent="0.25">
      <c r="D142" s="237"/>
      <c r="E142" s="237"/>
    </row>
    <row r="143" spans="4:5" x14ac:dyDescent="0.25">
      <c r="D143" s="237"/>
      <c r="E143" s="237"/>
    </row>
    <row r="144" spans="4:5" x14ac:dyDescent="0.25">
      <c r="D144" s="237"/>
      <c r="E144" s="237"/>
    </row>
    <row r="145" spans="4:5" x14ac:dyDescent="0.25">
      <c r="D145" s="237"/>
      <c r="E145" s="237"/>
    </row>
    <row r="146" spans="4:5" x14ac:dyDescent="0.25">
      <c r="D146" s="237"/>
      <c r="E146" s="237"/>
    </row>
    <row r="147" spans="4:5" x14ac:dyDescent="0.25">
      <c r="D147" s="237"/>
      <c r="E147" s="237"/>
    </row>
    <row r="148" spans="4:5" x14ac:dyDescent="0.25">
      <c r="D148" s="237"/>
      <c r="E148" s="237"/>
    </row>
    <row r="149" spans="4:5" x14ac:dyDescent="0.25">
      <c r="D149" s="237"/>
      <c r="E149" s="237"/>
    </row>
    <row r="150" spans="4:5" x14ac:dyDescent="0.25">
      <c r="D150" s="237"/>
      <c r="E150" s="237"/>
    </row>
    <row r="151" spans="4:5" x14ac:dyDescent="0.25">
      <c r="D151" s="237"/>
      <c r="E151" s="237"/>
    </row>
    <row r="152" spans="4:5" x14ac:dyDescent="0.25">
      <c r="D152" s="237"/>
      <c r="E152" s="237"/>
    </row>
    <row r="153" spans="4:5" x14ac:dyDescent="0.25">
      <c r="D153" s="237"/>
      <c r="E153" s="237"/>
    </row>
    <row r="154" spans="4:5" x14ac:dyDescent="0.25">
      <c r="D154" s="237"/>
      <c r="E154" s="237"/>
    </row>
    <row r="155" spans="4:5" x14ac:dyDescent="0.25">
      <c r="D155" s="237"/>
      <c r="E155" s="237"/>
    </row>
    <row r="156" spans="4:5" x14ac:dyDescent="0.25">
      <c r="D156" s="237"/>
      <c r="E156" s="237"/>
    </row>
    <row r="157" spans="4:5" x14ac:dyDescent="0.25">
      <c r="D157" s="237"/>
      <c r="E157" s="237"/>
    </row>
    <row r="158" spans="4:5" x14ac:dyDescent="0.25">
      <c r="D158" s="237"/>
      <c r="E158" s="237"/>
    </row>
    <row r="159" spans="4:5" x14ac:dyDescent="0.25">
      <c r="D159" s="237"/>
      <c r="E159" s="237"/>
    </row>
    <row r="160" spans="4:5" x14ac:dyDescent="0.25">
      <c r="D160" s="237"/>
      <c r="E160" s="237"/>
    </row>
    <row r="161" spans="4:5" x14ac:dyDescent="0.25">
      <c r="D161" s="237"/>
      <c r="E161" s="237"/>
    </row>
    <row r="162" spans="4:5" x14ac:dyDescent="0.25">
      <c r="D162" s="237"/>
      <c r="E162" s="237"/>
    </row>
    <row r="163" spans="4:5" x14ac:dyDescent="0.25">
      <c r="D163" s="237"/>
      <c r="E163" s="237"/>
    </row>
    <row r="164" spans="4:5" x14ac:dyDescent="0.25">
      <c r="D164" s="237"/>
      <c r="E164" s="237"/>
    </row>
    <row r="165" spans="4:5" x14ac:dyDescent="0.25">
      <c r="D165" s="237"/>
      <c r="E165" s="237"/>
    </row>
    <row r="166" spans="4:5" x14ac:dyDescent="0.25">
      <c r="D166" s="237"/>
      <c r="E166" s="237"/>
    </row>
    <row r="167" spans="4:5" x14ac:dyDescent="0.25">
      <c r="D167" s="237"/>
      <c r="E167" s="237"/>
    </row>
    <row r="168" spans="4:5" x14ac:dyDescent="0.25">
      <c r="D168" s="237"/>
      <c r="E168" s="237"/>
    </row>
    <row r="169" spans="4:5" x14ac:dyDescent="0.25">
      <c r="D169" s="237"/>
      <c r="E169" s="237"/>
    </row>
    <row r="170" spans="4:5" x14ac:dyDescent="0.25">
      <c r="D170" s="237"/>
      <c r="E170" s="237"/>
    </row>
    <row r="171" spans="4:5" x14ac:dyDescent="0.25">
      <c r="D171" s="237"/>
      <c r="E171" s="237"/>
    </row>
    <row r="172" spans="4:5" x14ac:dyDescent="0.25">
      <c r="D172" s="237"/>
      <c r="E172" s="237"/>
    </row>
    <row r="173" spans="4:5" x14ac:dyDescent="0.25">
      <c r="D173" s="237"/>
      <c r="E173" s="237"/>
    </row>
    <row r="174" spans="4:5" x14ac:dyDescent="0.25">
      <c r="D174" s="237"/>
      <c r="E174" s="237"/>
    </row>
    <row r="175" spans="4:5" x14ac:dyDescent="0.25">
      <c r="D175" s="237"/>
      <c r="E175" s="237"/>
    </row>
    <row r="176" spans="4:5" x14ac:dyDescent="0.25">
      <c r="D176" s="237"/>
      <c r="E176" s="237"/>
    </row>
    <row r="177" spans="4:5" x14ac:dyDescent="0.25">
      <c r="D177" s="237"/>
      <c r="E177" s="237"/>
    </row>
    <row r="178" spans="4:5" x14ac:dyDescent="0.25">
      <c r="D178" s="237"/>
      <c r="E178" s="237"/>
    </row>
    <row r="179" spans="4:5" x14ac:dyDescent="0.25">
      <c r="D179" s="237"/>
      <c r="E179" s="237"/>
    </row>
    <row r="180" spans="4:5" x14ac:dyDescent="0.25">
      <c r="D180" s="237"/>
      <c r="E180" s="237"/>
    </row>
    <row r="181" spans="4:5" x14ac:dyDescent="0.25">
      <c r="D181" s="237"/>
      <c r="E181" s="237"/>
    </row>
    <row r="182" spans="4:5" x14ac:dyDescent="0.25">
      <c r="D182" s="237"/>
      <c r="E182" s="237"/>
    </row>
    <row r="183" spans="4:5" x14ac:dyDescent="0.25">
      <c r="D183" s="237"/>
      <c r="E183" s="237"/>
    </row>
    <row r="184" spans="4:5" x14ac:dyDescent="0.25">
      <c r="D184" s="237"/>
      <c r="E184" s="237"/>
    </row>
    <row r="185" spans="4:5" x14ac:dyDescent="0.25">
      <c r="D185" s="237"/>
      <c r="E185" s="237"/>
    </row>
    <row r="186" spans="4:5" x14ac:dyDescent="0.25">
      <c r="D186" s="237"/>
      <c r="E186" s="237"/>
    </row>
    <row r="187" spans="4:5" x14ac:dyDescent="0.25">
      <c r="D187" s="237"/>
      <c r="E187" s="237"/>
    </row>
    <row r="188" spans="4:5" x14ac:dyDescent="0.25">
      <c r="D188" s="237"/>
      <c r="E188" s="237"/>
    </row>
    <row r="189" spans="4:5" x14ac:dyDescent="0.25">
      <c r="D189" s="237"/>
      <c r="E189" s="237"/>
    </row>
    <row r="190" spans="4:5" x14ac:dyDescent="0.25">
      <c r="D190" s="237"/>
      <c r="E190" s="237"/>
    </row>
    <row r="191" spans="4:5" x14ac:dyDescent="0.25">
      <c r="D191" s="237"/>
      <c r="E191" s="237"/>
    </row>
    <row r="192" spans="4:5" x14ac:dyDescent="0.25">
      <c r="D192" s="237"/>
      <c r="E192" s="237"/>
    </row>
    <row r="193" spans="4:5" x14ac:dyDescent="0.25">
      <c r="D193" s="237"/>
      <c r="E193" s="237"/>
    </row>
    <row r="194" spans="4:5" x14ac:dyDescent="0.25">
      <c r="D194" s="237"/>
      <c r="E194" s="237"/>
    </row>
    <row r="195" spans="4:5" x14ac:dyDescent="0.25">
      <c r="D195" s="237"/>
      <c r="E195" s="237"/>
    </row>
    <row r="196" spans="4:5" x14ac:dyDescent="0.25">
      <c r="D196" s="237"/>
      <c r="E196" s="237"/>
    </row>
    <row r="197" spans="4:5" x14ac:dyDescent="0.25">
      <c r="D197" s="237"/>
      <c r="E197" s="237"/>
    </row>
    <row r="198" spans="4:5" x14ac:dyDescent="0.25">
      <c r="D198" s="237"/>
      <c r="E198" s="237"/>
    </row>
    <row r="199" spans="4:5" x14ac:dyDescent="0.25">
      <c r="D199" s="237"/>
      <c r="E199" s="237"/>
    </row>
    <row r="200" spans="4:5" x14ac:dyDescent="0.25">
      <c r="D200" s="237"/>
      <c r="E200" s="237"/>
    </row>
    <row r="201" spans="4:5" x14ac:dyDescent="0.25">
      <c r="D201" s="237"/>
      <c r="E201" s="237"/>
    </row>
    <row r="202" spans="4:5" x14ac:dyDescent="0.25">
      <c r="D202" s="237"/>
      <c r="E202" s="237"/>
    </row>
    <row r="203" spans="4:5" x14ac:dyDescent="0.25">
      <c r="D203" s="237"/>
      <c r="E203" s="237"/>
    </row>
    <row r="204" spans="4:5" x14ac:dyDescent="0.25">
      <c r="D204" s="237"/>
      <c r="E204" s="237"/>
    </row>
    <row r="205" spans="4:5" x14ac:dyDescent="0.25">
      <c r="D205" s="237"/>
      <c r="E205" s="237"/>
    </row>
    <row r="206" spans="4:5" x14ac:dyDescent="0.25">
      <c r="D206" s="237"/>
      <c r="E206" s="237"/>
    </row>
    <row r="207" spans="4:5" x14ac:dyDescent="0.25">
      <c r="D207" s="237"/>
      <c r="E207" s="237"/>
    </row>
    <row r="208" spans="4:5" x14ac:dyDescent="0.25">
      <c r="D208" s="237"/>
      <c r="E208" s="237"/>
    </row>
    <row r="209" spans="4:5" x14ac:dyDescent="0.25">
      <c r="D209" s="237"/>
      <c r="E209" s="237"/>
    </row>
    <row r="210" spans="4:5" x14ac:dyDescent="0.25">
      <c r="D210" s="237"/>
      <c r="E210" s="237"/>
    </row>
    <row r="211" spans="4:5" x14ac:dyDescent="0.25">
      <c r="D211" s="237"/>
      <c r="E211" s="237"/>
    </row>
    <row r="212" spans="4:5" x14ac:dyDescent="0.25">
      <c r="D212" s="237"/>
      <c r="E212" s="237"/>
    </row>
    <row r="213" spans="4:5" x14ac:dyDescent="0.25">
      <c r="D213" s="237"/>
      <c r="E213" s="237"/>
    </row>
    <row r="214" spans="4:5" x14ac:dyDescent="0.25">
      <c r="D214" s="237"/>
      <c r="E214" s="237"/>
    </row>
    <row r="215" spans="4:5" x14ac:dyDescent="0.25">
      <c r="D215" s="237"/>
      <c r="E215" s="237"/>
    </row>
    <row r="216" spans="4:5" x14ac:dyDescent="0.25">
      <c r="D216" s="237"/>
      <c r="E216" s="237"/>
    </row>
    <row r="217" spans="4:5" x14ac:dyDescent="0.25">
      <c r="D217" s="237"/>
      <c r="E217" s="237"/>
    </row>
    <row r="218" spans="4:5" x14ac:dyDescent="0.25">
      <c r="D218" s="237"/>
      <c r="E218" s="237"/>
    </row>
    <row r="219" spans="4:5" x14ac:dyDescent="0.25">
      <c r="D219" s="237"/>
      <c r="E219" s="237"/>
    </row>
    <row r="220" spans="4:5" x14ac:dyDescent="0.25">
      <c r="D220" s="237"/>
      <c r="E220" s="237"/>
    </row>
    <row r="221" spans="4:5" x14ac:dyDescent="0.25">
      <c r="D221" s="237"/>
      <c r="E221" s="237"/>
    </row>
    <row r="222" spans="4:5" x14ac:dyDescent="0.25">
      <c r="D222" s="237"/>
      <c r="E222" s="237"/>
    </row>
    <row r="223" spans="4:5" x14ac:dyDescent="0.25">
      <c r="D223" s="237"/>
      <c r="E223" s="237"/>
    </row>
    <row r="224" spans="4:5" x14ac:dyDescent="0.25">
      <c r="D224" s="237"/>
      <c r="E224" s="237"/>
    </row>
    <row r="225" spans="4:5" x14ac:dyDescent="0.25">
      <c r="D225" s="237"/>
      <c r="E225" s="237"/>
    </row>
    <row r="226" spans="4:5" x14ac:dyDescent="0.25">
      <c r="D226" s="237"/>
      <c r="E226" s="237"/>
    </row>
    <row r="227" spans="4:5" x14ac:dyDescent="0.25">
      <c r="D227" s="237"/>
      <c r="E227" s="237"/>
    </row>
    <row r="228" spans="4:5" x14ac:dyDescent="0.25">
      <c r="D228" s="237"/>
      <c r="E228" s="237"/>
    </row>
    <row r="229" spans="4:5" x14ac:dyDescent="0.25">
      <c r="D229" s="237"/>
      <c r="E229" s="237"/>
    </row>
    <row r="230" spans="4:5" x14ac:dyDescent="0.25">
      <c r="D230" s="237"/>
      <c r="E230" s="237"/>
    </row>
    <row r="231" spans="4:5" x14ac:dyDescent="0.25">
      <c r="D231" s="237"/>
      <c r="E231" s="237"/>
    </row>
    <row r="232" spans="4:5" x14ac:dyDescent="0.25">
      <c r="D232" s="237"/>
      <c r="E232" s="237"/>
    </row>
    <row r="233" spans="4:5" x14ac:dyDescent="0.25">
      <c r="D233" s="237"/>
      <c r="E233" s="237"/>
    </row>
    <row r="234" spans="4:5" x14ac:dyDescent="0.25">
      <c r="D234" s="237"/>
      <c r="E234" s="237"/>
    </row>
    <row r="235" spans="4:5" x14ac:dyDescent="0.25">
      <c r="D235" s="237"/>
      <c r="E235" s="237"/>
    </row>
    <row r="236" spans="4:5" x14ac:dyDescent="0.25">
      <c r="D236" s="237"/>
      <c r="E236" s="237"/>
    </row>
    <row r="237" spans="4:5" x14ac:dyDescent="0.25">
      <c r="D237" s="237"/>
      <c r="E237" s="237"/>
    </row>
    <row r="238" spans="4:5" x14ac:dyDescent="0.25">
      <c r="D238" s="237"/>
      <c r="E238" s="237"/>
    </row>
    <row r="239" spans="4:5" x14ac:dyDescent="0.25">
      <c r="D239" s="237"/>
      <c r="E239" s="237"/>
    </row>
    <row r="240" spans="4:5" x14ac:dyDescent="0.25">
      <c r="D240" s="237"/>
      <c r="E240" s="237"/>
    </row>
    <row r="241" spans="4:5" x14ac:dyDescent="0.25">
      <c r="D241" s="237"/>
      <c r="E241" s="237"/>
    </row>
    <row r="242" spans="4:5" x14ac:dyDescent="0.25">
      <c r="D242" s="237"/>
      <c r="E242" s="237"/>
    </row>
    <row r="243" spans="4:5" x14ac:dyDescent="0.25">
      <c r="D243" s="237"/>
      <c r="E243" s="237"/>
    </row>
    <row r="244" spans="4:5" x14ac:dyDescent="0.25">
      <c r="D244" s="237"/>
      <c r="E244" s="237"/>
    </row>
    <row r="245" spans="4:5" x14ac:dyDescent="0.25">
      <c r="D245" s="237"/>
      <c r="E245" s="237"/>
    </row>
    <row r="246" spans="4:5" x14ac:dyDescent="0.25">
      <c r="D246" s="237"/>
      <c r="E246" s="237"/>
    </row>
    <row r="247" spans="4:5" x14ac:dyDescent="0.25">
      <c r="D247" s="237"/>
      <c r="E247" s="237"/>
    </row>
    <row r="248" spans="4:5" x14ac:dyDescent="0.25">
      <c r="D248" s="237"/>
      <c r="E248" s="237"/>
    </row>
    <row r="249" spans="4:5" x14ac:dyDescent="0.25">
      <c r="D249" s="237"/>
      <c r="E249" s="237"/>
    </row>
    <row r="250" spans="4:5" x14ac:dyDescent="0.25">
      <c r="D250" s="237"/>
      <c r="E250" s="237"/>
    </row>
    <row r="251" spans="4:5" x14ac:dyDescent="0.25">
      <c r="D251" s="237"/>
      <c r="E251" s="237"/>
    </row>
    <row r="252" spans="4:5" x14ac:dyDescent="0.25">
      <c r="D252" s="237"/>
      <c r="E252" s="237"/>
    </row>
    <row r="253" spans="4:5" x14ac:dyDescent="0.25">
      <c r="D253" s="237"/>
      <c r="E253" s="237"/>
    </row>
    <row r="254" spans="4:5" x14ac:dyDescent="0.25">
      <c r="D254" s="237"/>
      <c r="E254" s="237"/>
    </row>
    <row r="255" spans="4:5" x14ac:dyDescent="0.25">
      <c r="D255" s="237"/>
      <c r="E255" s="237"/>
    </row>
    <row r="256" spans="4:5" x14ac:dyDescent="0.25">
      <c r="D256" s="237"/>
      <c r="E256" s="237"/>
    </row>
    <row r="257" spans="4:5" x14ac:dyDescent="0.25">
      <c r="D257" s="237"/>
      <c r="E257" s="237"/>
    </row>
    <row r="258" spans="4:5" x14ac:dyDescent="0.25">
      <c r="D258" s="237"/>
      <c r="E258" s="237"/>
    </row>
    <row r="259" spans="4:5" x14ac:dyDescent="0.25">
      <c r="D259" s="237"/>
      <c r="E259" s="237"/>
    </row>
    <row r="260" spans="4:5" x14ac:dyDescent="0.25">
      <c r="D260" s="237"/>
      <c r="E260" s="237"/>
    </row>
    <row r="261" spans="4:5" x14ac:dyDescent="0.25">
      <c r="D261" s="237"/>
      <c r="E261" s="237"/>
    </row>
    <row r="262" spans="4:5" x14ac:dyDescent="0.25">
      <c r="D262" s="237"/>
      <c r="E262" s="237"/>
    </row>
    <row r="263" spans="4:5" x14ac:dyDescent="0.25">
      <c r="D263" s="237"/>
      <c r="E263" s="237"/>
    </row>
    <row r="264" spans="4:5" x14ac:dyDescent="0.25">
      <c r="D264" s="237"/>
      <c r="E264" s="237"/>
    </row>
    <row r="265" spans="4:5" x14ac:dyDescent="0.25">
      <c r="D265" s="237"/>
      <c r="E265" s="237"/>
    </row>
    <row r="266" spans="4:5" x14ac:dyDescent="0.25">
      <c r="D266" s="237"/>
      <c r="E266" s="237"/>
    </row>
    <row r="267" spans="4:5" x14ac:dyDescent="0.25">
      <c r="D267" s="237"/>
      <c r="E267" s="237"/>
    </row>
    <row r="268" spans="4:5" x14ac:dyDescent="0.25">
      <c r="D268" s="237"/>
      <c r="E268" s="237"/>
    </row>
    <row r="269" spans="4:5" x14ac:dyDescent="0.25">
      <c r="D269" s="237"/>
      <c r="E269" s="237"/>
    </row>
    <row r="270" spans="4:5" x14ac:dyDescent="0.25">
      <c r="D270" s="237"/>
      <c r="E270" s="237"/>
    </row>
    <row r="271" spans="4:5" x14ac:dyDescent="0.25">
      <c r="D271" s="237"/>
      <c r="E271" s="237"/>
    </row>
    <row r="272" spans="4:5" x14ac:dyDescent="0.25">
      <c r="D272" s="237"/>
      <c r="E272" s="237"/>
    </row>
    <row r="273" spans="4:5" x14ac:dyDescent="0.25">
      <c r="D273" s="237"/>
      <c r="E273" s="237"/>
    </row>
    <row r="274" spans="4:5" x14ac:dyDescent="0.25">
      <c r="D274" s="237"/>
      <c r="E274" s="237"/>
    </row>
    <row r="275" spans="4:5" x14ac:dyDescent="0.25">
      <c r="D275" s="237"/>
      <c r="E275" s="237"/>
    </row>
    <row r="276" spans="4:5" x14ac:dyDescent="0.25">
      <c r="D276" s="237"/>
      <c r="E276" s="237"/>
    </row>
    <row r="277" spans="4:5" x14ac:dyDescent="0.25">
      <c r="D277" s="237"/>
      <c r="E277" s="237"/>
    </row>
    <row r="278" spans="4:5" x14ac:dyDescent="0.25">
      <c r="D278" s="237"/>
      <c r="E278" s="237"/>
    </row>
    <row r="279" spans="4:5" x14ac:dyDescent="0.25">
      <c r="D279" s="237"/>
      <c r="E279" s="237"/>
    </row>
    <row r="280" spans="4:5" x14ac:dyDescent="0.25">
      <c r="D280" s="237"/>
      <c r="E280" s="237"/>
    </row>
    <row r="281" spans="4:5" x14ac:dyDescent="0.25">
      <c r="D281" s="237"/>
      <c r="E281" s="237"/>
    </row>
    <row r="282" spans="4:5" x14ac:dyDescent="0.25">
      <c r="D282" s="237"/>
      <c r="E282" s="237"/>
    </row>
    <row r="283" spans="4:5" x14ac:dyDescent="0.25">
      <c r="D283" s="237"/>
      <c r="E283" s="237"/>
    </row>
    <row r="284" spans="4:5" x14ac:dyDescent="0.25">
      <c r="D284" s="237"/>
      <c r="E284" s="237"/>
    </row>
    <row r="285" spans="4:5" x14ac:dyDescent="0.25">
      <c r="D285" s="237"/>
      <c r="E285" s="237"/>
    </row>
    <row r="286" spans="4:5" x14ac:dyDescent="0.25">
      <c r="D286" s="237"/>
      <c r="E286" s="237"/>
    </row>
    <row r="287" spans="4:5" x14ac:dyDescent="0.25">
      <c r="D287" s="237"/>
      <c r="E287" s="237"/>
    </row>
    <row r="288" spans="4:5" x14ac:dyDescent="0.25">
      <c r="D288" s="237"/>
      <c r="E288" s="237"/>
    </row>
    <row r="289" spans="4:5" x14ac:dyDescent="0.25">
      <c r="D289" s="237"/>
      <c r="E289" s="237"/>
    </row>
    <row r="290" spans="4:5" x14ac:dyDescent="0.25">
      <c r="D290" s="237"/>
      <c r="E290" s="237"/>
    </row>
    <row r="291" spans="4:5" x14ac:dyDescent="0.25">
      <c r="D291" s="237"/>
      <c r="E291" s="237"/>
    </row>
    <row r="292" spans="4:5" x14ac:dyDescent="0.25">
      <c r="D292" s="237"/>
      <c r="E292" s="237"/>
    </row>
    <row r="293" spans="4:5" x14ac:dyDescent="0.25">
      <c r="D293" s="237"/>
      <c r="E293" s="237"/>
    </row>
    <row r="294" spans="4:5" x14ac:dyDescent="0.25">
      <c r="D294" s="237"/>
      <c r="E294" s="237"/>
    </row>
    <row r="295" spans="4:5" x14ac:dyDescent="0.25">
      <c r="D295" s="237"/>
      <c r="E295" s="237"/>
    </row>
    <row r="296" spans="4:5" x14ac:dyDescent="0.25">
      <c r="D296" s="237"/>
      <c r="E296" s="237"/>
    </row>
    <row r="297" spans="4:5" x14ac:dyDescent="0.25">
      <c r="D297" s="237"/>
      <c r="E297" s="237"/>
    </row>
    <row r="298" spans="4:5" x14ac:dyDescent="0.25">
      <c r="D298" s="237"/>
      <c r="E298" s="237"/>
    </row>
    <row r="299" spans="4:5" x14ac:dyDescent="0.25">
      <c r="D299" s="237"/>
      <c r="E299" s="237"/>
    </row>
    <row r="300" spans="4:5" x14ac:dyDescent="0.25">
      <c r="D300" s="237"/>
      <c r="E300" s="237"/>
    </row>
    <row r="301" spans="4:5" x14ac:dyDescent="0.25">
      <c r="D301" s="237"/>
      <c r="E301" s="237"/>
    </row>
    <row r="302" spans="4:5" x14ac:dyDescent="0.25">
      <c r="D302" s="237"/>
      <c r="E302" s="237"/>
    </row>
    <row r="303" spans="4:5" x14ac:dyDescent="0.25">
      <c r="D303" s="237"/>
      <c r="E303" s="237"/>
    </row>
    <row r="304" spans="4:5" x14ac:dyDescent="0.25">
      <c r="D304" s="237"/>
      <c r="E304" s="237"/>
    </row>
    <row r="305" spans="4:5" x14ac:dyDescent="0.25">
      <c r="D305" s="237"/>
      <c r="E305" s="237"/>
    </row>
    <row r="306" spans="4:5" x14ac:dyDescent="0.25">
      <c r="D306" s="237"/>
      <c r="E306" s="237"/>
    </row>
    <row r="307" spans="4:5" x14ac:dyDescent="0.25">
      <c r="D307" s="237"/>
      <c r="E307" s="237"/>
    </row>
    <row r="308" spans="4:5" x14ac:dyDescent="0.25">
      <c r="D308" s="237"/>
      <c r="E308" s="237"/>
    </row>
    <row r="309" spans="4:5" x14ac:dyDescent="0.25">
      <c r="D309" s="237"/>
      <c r="E309" s="237"/>
    </row>
    <row r="310" spans="4:5" x14ac:dyDescent="0.25">
      <c r="D310" s="237"/>
      <c r="E310" s="237"/>
    </row>
    <row r="311" spans="4:5" x14ac:dyDescent="0.25">
      <c r="D311" s="237"/>
      <c r="E311" s="237"/>
    </row>
    <row r="312" spans="4:5" x14ac:dyDescent="0.25">
      <c r="D312" s="237"/>
      <c r="E312" s="237"/>
    </row>
    <row r="313" spans="4:5" x14ac:dyDescent="0.25">
      <c r="D313" s="237"/>
      <c r="E313" s="237"/>
    </row>
    <row r="314" spans="4:5" x14ac:dyDescent="0.25">
      <c r="D314" s="237"/>
      <c r="E314" s="237"/>
    </row>
    <row r="315" spans="4:5" x14ac:dyDescent="0.25">
      <c r="D315" s="237"/>
      <c r="E315" s="237"/>
    </row>
    <row r="316" spans="4:5" x14ac:dyDescent="0.25">
      <c r="D316" s="237"/>
      <c r="E316" s="237"/>
    </row>
    <row r="317" spans="4:5" x14ac:dyDescent="0.25">
      <c r="D317" s="237"/>
      <c r="E317" s="237"/>
    </row>
    <row r="318" spans="4:5" x14ac:dyDescent="0.25">
      <c r="D318" s="237"/>
      <c r="E318" s="237"/>
    </row>
    <row r="319" spans="4:5" x14ac:dyDescent="0.25">
      <c r="D319" s="237"/>
      <c r="E319" s="237"/>
    </row>
    <row r="320" spans="4:5" x14ac:dyDescent="0.25">
      <c r="D320" s="237"/>
      <c r="E320" s="237"/>
    </row>
    <row r="321" spans="4:5" x14ac:dyDescent="0.25">
      <c r="D321" s="237"/>
      <c r="E321" s="237"/>
    </row>
    <row r="322" spans="4:5" x14ac:dyDescent="0.25">
      <c r="D322" s="237"/>
      <c r="E322" s="237"/>
    </row>
    <row r="323" spans="4:5" x14ac:dyDescent="0.25">
      <c r="D323" s="237"/>
      <c r="E323" s="237"/>
    </row>
    <row r="324" spans="4:5" x14ac:dyDescent="0.25">
      <c r="D324" s="237"/>
      <c r="E324" s="237"/>
    </row>
    <row r="325" spans="4:5" x14ac:dyDescent="0.25">
      <c r="D325" s="237"/>
      <c r="E325" s="237"/>
    </row>
    <row r="326" spans="4:5" x14ac:dyDescent="0.25">
      <c r="D326" s="237"/>
      <c r="E326" s="237"/>
    </row>
    <row r="327" spans="4:5" x14ac:dyDescent="0.25">
      <c r="D327" s="237"/>
      <c r="E327" s="237"/>
    </row>
    <row r="328" spans="4:5" x14ac:dyDescent="0.25">
      <c r="D328" s="237"/>
      <c r="E328" s="237"/>
    </row>
    <row r="329" spans="4:5" x14ac:dyDescent="0.25">
      <c r="D329" s="237"/>
      <c r="E329" s="237"/>
    </row>
    <row r="330" spans="4:5" x14ac:dyDescent="0.25">
      <c r="D330" s="237"/>
      <c r="E330" s="237"/>
    </row>
    <row r="331" spans="4:5" x14ac:dyDescent="0.25">
      <c r="D331" s="237"/>
      <c r="E331" s="237"/>
    </row>
    <row r="332" spans="4:5" x14ac:dyDescent="0.25">
      <c r="D332" s="237"/>
      <c r="E332" s="237"/>
    </row>
    <row r="333" spans="4:5" x14ac:dyDescent="0.25">
      <c r="D333" s="237"/>
      <c r="E333" s="237"/>
    </row>
    <row r="334" spans="4:5" x14ac:dyDescent="0.25">
      <c r="D334" s="237"/>
      <c r="E334" s="237"/>
    </row>
    <row r="335" spans="4:5" x14ac:dyDescent="0.25">
      <c r="D335" s="237"/>
      <c r="E335" s="237"/>
    </row>
    <row r="336" spans="4:5" x14ac:dyDescent="0.25">
      <c r="D336" s="237"/>
      <c r="E336" s="237"/>
    </row>
    <row r="337" spans="4:5" x14ac:dyDescent="0.25">
      <c r="D337" s="237"/>
      <c r="E337" s="237"/>
    </row>
    <row r="338" spans="4:5" x14ac:dyDescent="0.25">
      <c r="D338" s="237"/>
      <c r="E338" s="237"/>
    </row>
    <row r="339" spans="4:5" x14ac:dyDescent="0.25">
      <c r="D339" s="237"/>
      <c r="E339" s="237"/>
    </row>
    <row r="340" spans="4:5" x14ac:dyDescent="0.25">
      <c r="D340" s="237"/>
      <c r="E340" s="237"/>
    </row>
    <row r="341" spans="4:5" x14ac:dyDescent="0.25">
      <c r="D341" s="237"/>
      <c r="E341" s="237"/>
    </row>
    <row r="342" spans="4:5" x14ac:dyDescent="0.25">
      <c r="D342" s="237"/>
      <c r="E342" s="237"/>
    </row>
    <row r="343" spans="4:5" x14ac:dyDescent="0.25">
      <c r="D343" s="237"/>
      <c r="E343" s="237"/>
    </row>
    <row r="344" spans="4:5" x14ac:dyDescent="0.25">
      <c r="D344" s="237"/>
      <c r="E344" s="237"/>
    </row>
    <row r="345" spans="4:5" x14ac:dyDescent="0.25">
      <c r="D345" s="237"/>
      <c r="E345" s="237"/>
    </row>
    <row r="346" spans="4:5" x14ac:dyDescent="0.25">
      <c r="D346" s="237"/>
      <c r="E346" s="237"/>
    </row>
    <row r="347" spans="4:5" x14ac:dyDescent="0.25">
      <c r="D347" s="237"/>
      <c r="E347" s="237"/>
    </row>
    <row r="348" spans="4:5" x14ac:dyDescent="0.25">
      <c r="D348" s="237"/>
      <c r="E348" s="237"/>
    </row>
    <row r="349" spans="4:5" x14ac:dyDescent="0.25">
      <c r="D349" s="237"/>
      <c r="E349" s="237"/>
    </row>
    <row r="350" spans="4:5" x14ac:dyDescent="0.25">
      <c r="D350" s="237"/>
      <c r="E350" s="237"/>
    </row>
    <row r="351" spans="4:5" x14ac:dyDescent="0.25">
      <c r="D351" s="237"/>
      <c r="E351" s="237"/>
    </row>
    <row r="352" spans="4:5" x14ac:dyDescent="0.25">
      <c r="D352" s="237"/>
      <c r="E352" s="237"/>
    </row>
    <row r="353" spans="4:5" x14ac:dyDescent="0.25">
      <c r="D353" s="237"/>
      <c r="E353" s="237"/>
    </row>
    <row r="354" spans="4:5" x14ac:dyDescent="0.25">
      <c r="D354" s="237"/>
      <c r="E354" s="237"/>
    </row>
    <row r="355" spans="4:5" x14ac:dyDescent="0.25">
      <c r="D355" s="237"/>
      <c r="E355" s="237"/>
    </row>
    <row r="356" spans="4:5" x14ac:dyDescent="0.25">
      <c r="D356" s="237"/>
      <c r="E356" s="237"/>
    </row>
    <row r="357" spans="4:5" x14ac:dyDescent="0.25">
      <c r="D357" s="237"/>
      <c r="E357" s="237"/>
    </row>
    <row r="358" spans="4:5" x14ac:dyDescent="0.25">
      <c r="D358" s="237"/>
      <c r="E358" s="237"/>
    </row>
    <row r="359" spans="4:5" x14ac:dyDescent="0.25">
      <c r="D359" s="237"/>
      <c r="E359" s="237"/>
    </row>
    <row r="360" spans="4:5" x14ac:dyDescent="0.25">
      <c r="D360" s="237"/>
      <c r="E360" s="237"/>
    </row>
    <row r="361" spans="4:5" x14ac:dyDescent="0.25">
      <c r="D361" s="237"/>
      <c r="E361" s="237"/>
    </row>
    <row r="362" spans="4:5" x14ac:dyDescent="0.25">
      <c r="D362" s="237"/>
      <c r="E362" s="237"/>
    </row>
    <row r="363" spans="4:5" x14ac:dyDescent="0.25">
      <c r="D363" s="237"/>
      <c r="E363" s="237"/>
    </row>
    <row r="364" spans="4:5" x14ac:dyDescent="0.25">
      <c r="D364" s="237"/>
      <c r="E364" s="237"/>
    </row>
    <row r="365" spans="4:5" x14ac:dyDescent="0.25">
      <c r="D365" s="237"/>
      <c r="E365" s="237"/>
    </row>
    <row r="366" spans="4:5" x14ac:dyDescent="0.25">
      <c r="D366" s="237"/>
      <c r="E366" s="237"/>
    </row>
    <row r="367" spans="4:5" x14ac:dyDescent="0.25">
      <c r="D367" s="237"/>
      <c r="E367" s="237"/>
    </row>
    <row r="368" spans="4:5" x14ac:dyDescent="0.25">
      <c r="D368" s="237"/>
      <c r="E368" s="237"/>
    </row>
    <row r="369" spans="4:5" x14ac:dyDescent="0.25">
      <c r="D369" s="237"/>
      <c r="E369" s="237"/>
    </row>
    <row r="370" spans="4:5" x14ac:dyDescent="0.25">
      <c r="D370" s="237"/>
      <c r="E370" s="237"/>
    </row>
    <row r="371" spans="4:5" x14ac:dyDescent="0.25">
      <c r="D371" s="237"/>
      <c r="E371" s="237"/>
    </row>
    <row r="372" spans="4:5" x14ac:dyDescent="0.25">
      <c r="D372" s="237"/>
      <c r="E372" s="237"/>
    </row>
    <row r="373" spans="4:5" x14ac:dyDescent="0.25">
      <c r="D373" s="237"/>
      <c r="E373" s="237"/>
    </row>
    <row r="374" spans="4:5" x14ac:dyDescent="0.25">
      <c r="D374" s="237"/>
      <c r="E374" s="237"/>
    </row>
    <row r="375" spans="4:5" x14ac:dyDescent="0.25">
      <c r="D375" s="237"/>
      <c r="E375" s="237"/>
    </row>
    <row r="376" spans="4:5" x14ac:dyDescent="0.25">
      <c r="D376" s="237"/>
      <c r="E376" s="237"/>
    </row>
    <row r="377" spans="4:5" x14ac:dyDescent="0.25">
      <c r="D377" s="237"/>
      <c r="E377" s="237"/>
    </row>
    <row r="378" spans="4:5" x14ac:dyDescent="0.25">
      <c r="D378" s="237"/>
      <c r="E378" s="237"/>
    </row>
    <row r="379" spans="4:5" x14ac:dyDescent="0.25">
      <c r="D379" s="237"/>
      <c r="E379" s="237"/>
    </row>
    <row r="380" spans="4:5" x14ac:dyDescent="0.25">
      <c r="D380" s="237"/>
      <c r="E380" s="237"/>
    </row>
    <row r="381" spans="4:5" x14ac:dyDescent="0.25">
      <c r="D381" s="237"/>
      <c r="E381" s="237"/>
    </row>
    <row r="382" spans="4:5" x14ac:dyDescent="0.25">
      <c r="D382" s="237"/>
      <c r="E382" s="237"/>
    </row>
    <row r="383" spans="4:5" x14ac:dyDescent="0.25">
      <c r="D383" s="237"/>
      <c r="E383" s="237"/>
    </row>
    <row r="384" spans="4:5" x14ac:dyDescent="0.25">
      <c r="D384" s="237"/>
      <c r="E384" s="237"/>
    </row>
    <row r="385" spans="4:5" x14ac:dyDescent="0.25">
      <c r="D385" s="237"/>
      <c r="E385" s="237"/>
    </row>
    <row r="386" spans="4:5" x14ac:dyDescent="0.25">
      <c r="D386" s="237"/>
      <c r="E386" s="237"/>
    </row>
    <row r="387" spans="4:5" x14ac:dyDescent="0.25">
      <c r="D387" s="237"/>
      <c r="E387" s="237"/>
    </row>
    <row r="388" spans="4:5" x14ac:dyDescent="0.25">
      <c r="D388" s="237"/>
      <c r="E388" s="237"/>
    </row>
    <row r="389" spans="4:5" x14ac:dyDescent="0.25">
      <c r="D389" s="237"/>
      <c r="E389" s="237"/>
    </row>
    <row r="390" spans="4:5" x14ac:dyDescent="0.25">
      <c r="D390" s="237"/>
      <c r="E390" s="237"/>
    </row>
    <row r="391" spans="4:5" x14ac:dyDescent="0.25">
      <c r="D391" s="237"/>
      <c r="E391" s="237"/>
    </row>
    <row r="392" spans="4:5" x14ac:dyDescent="0.25">
      <c r="D392" s="237"/>
      <c r="E392" s="237"/>
    </row>
    <row r="393" spans="4:5" x14ac:dyDescent="0.25">
      <c r="D393" s="237"/>
      <c r="E393" s="237"/>
    </row>
    <row r="394" spans="4:5" x14ac:dyDescent="0.25">
      <c r="D394" s="237"/>
      <c r="E394" s="237"/>
    </row>
    <row r="395" spans="4:5" x14ac:dyDescent="0.25">
      <c r="D395" s="237"/>
      <c r="E395" s="237"/>
    </row>
    <row r="396" spans="4:5" x14ac:dyDescent="0.25">
      <c r="D396" s="237"/>
      <c r="E396" s="237"/>
    </row>
    <row r="397" spans="4:5" x14ac:dyDescent="0.25">
      <c r="D397" s="237"/>
      <c r="E397" s="237"/>
    </row>
    <row r="398" spans="4:5" x14ac:dyDescent="0.25">
      <c r="D398" s="237"/>
      <c r="E398" s="237"/>
    </row>
    <row r="399" spans="4:5" x14ac:dyDescent="0.25">
      <c r="D399" s="237"/>
      <c r="E399" s="237"/>
    </row>
    <row r="400" spans="4:5" x14ac:dyDescent="0.25">
      <c r="D400" s="237"/>
      <c r="E400" s="237"/>
    </row>
    <row r="401" spans="4:5" x14ac:dyDescent="0.25">
      <c r="D401" s="237"/>
      <c r="E401" s="237"/>
    </row>
    <row r="402" spans="4:5" x14ac:dyDescent="0.25">
      <c r="D402" s="237"/>
      <c r="E402" s="237"/>
    </row>
    <row r="403" spans="4:5" x14ac:dyDescent="0.25">
      <c r="D403" s="237"/>
      <c r="E403" s="237"/>
    </row>
    <row r="404" spans="4:5" x14ac:dyDescent="0.25">
      <c r="D404" s="237"/>
      <c r="E404" s="237"/>
    </row>
    <row r="405" spans="4:5" x14ac:dyDescent="0.25">
      <c r="D405" s="237"/>
      <c r="E405" s="237"/>
    </row>
    <row r="406" spans="4:5" x14ac:dyDescent="0.25">
      <c r="D406" s="237"/>
      <c r="E406" s="237"/>
    </row>
    <row r="407" spans="4:5" x14ac:dyDescent="0.25">
      <c r="D407" s="237"/>
      <c r="E407" s="237"/>
    </row>
    <row r="408" spans="4:5" x14ac:dyDescent="0.25">
      <c r="D408" s="237"/>
      <c r="E408" s="237"/>
    </row>
    <row r="409" spans="4:5" x14ac:dyDescent="0.25">
      <c r="D409" s="237"/>
      <c r="E409" s="237"/>
    </row>
    <row r="410" spans="4:5" x14ac:dyDescent="0.25">
      <c r="D410" s="237"/>
      <c r="E410" s="237"/>
    </row>
    <row r="411" spans="4:5" x14ac:dyDescent="0.25">
      <c r="D411" s="237"/>
      <c r="E411" s="237"/>
    </row>
    <row r="412" spans="4:5" x14ac:dyDescent="0.25">
      <c r="D412" s="237"/>
      <c r="E412" s="237"/>
    </row>
    <row r="413" spans="4:5" x14ac:dyDescent="0.25">
      <c r="D413" s="237"/>
      <c r="E413" s="237"/>
    </row>
    <row r="414" spans="4:5" x14ac:dyDescent="0.25">
      <c r="D414" s="237"/>
      <c r="E414" s="237"/>
    </row>
    <row r="415" spans="4:5" x14ac:dyDescent="0.25">
      <c r="D415" s="237"/>
      <c r="E415" s="237"/>
    </row>
    <row r="416" spans="4:5" x14ac:dyDescent="0.25">
      <c r="D416" s="237"/>
      <c r="E416" s="237"/>
    </row>
    <row r="417" spans="4:5" x14ac:dyDescent="0.25">
      <c r="D417" s="237"/>
      <c r="E417" s="237"/>
    </row>
    <row r="418" spans="4:5" x14ac:dyDescent="0.25">
      <c r="D418" s="237"/>
      <c r="E418" s="237"/>
    </row>
    <row r="419" spans="4:5" x14ac:dyDescent="0.25">
      <c r="D419" s="237"/>
      <c r="E419" s="237"/>
    </row>
    <row r="420" spans="4:5" x14ac:dyDescent="0.25">
      <c r="D420" s="237"/>
      <c r="E420" s="237"/>
    </row>
    <row r="421" spans="4:5" x14ac:dyDescent="0.25">
      <c r="D421" s="237"/>
      <c r="E421" s="237"/>
    </row>
    <row r="422" spans="4:5" x14ac:dyDescent="0.25">
      <c r="D422" s="237"/>
      <c r="E422" s="237"/>
    </row>
    <row r="423" spans="4:5" x14ac:dyDescent="0.25">
      <c r="D423" s="237"/>
      <c r="E423" s="237"/>
    </row>
    <row r="424" spans="4:5" x14ac:dyDescent="0.25">
      <c r="D424" s="237"/>
      <c r="E424" s="237"/>
    </row>
    <row r="425" spans="4:5" x14ac:dyDescent="0.25">
      <c r="D425" s="237"/>
      <c r="E425" s="237"/>
    </row>
    <row r="426" spans="4:5" x14ac:dyDescent="0.25">
      <c r="D426" s="237"/>
      <c r="E426" s="237"/>
    </row>
    <row r="427" spans="4:5" x14ac:dyDescent="0.25">
      <c r="D427" s="237"/>
      <c r="E427" s="237"/>
    </row>
    <row r="428" spans="4:5" x14ac:dyDescent="0.25">
      <c r="D428" s="237"/>
      <c r="E428" s="237"/>
    </row>
    <row r="429" spans="4:5" x14ac:dyDescent="0.25">
      <c r="D429" s="237"/>
      <c r="E429" s="237"/>
    </row>
    <row r="430" spans="4:5" x14ac:dyDescent="0.25">
      <c r="D430" s="237"/>
      <c r="E430" s="237"/>
    </row>
    <row r="431" spans="4:5" x14ac:dyDescent="0.25">
      <c r="D431" s="237"/>
      <c r="E431" s="237"/>
    </row>
    <row r="432" spans="4:5" x14ac:dyDescent="0.25">
      <c r="D432" s="237"/>
      <c r="E432" s="237"/>
    </row>
    <row r="433" spans="4:5" x14ac:dyDescent="0.25">
      <c r="D433" s="237"/>
      <c r="E433" s="237"/>
    </row>
    <row r="434" spans="4:5" x14ac:dyDescent="0.25">
      <c r="D434" s="237"/>
      <c r="E434" s="237"/>
    </row>
    <row r="435" spans="4:5" x14ac:dyDescent="0.25">
      <c r="D435" s="237"/>
      <c r="E435" s="237"/>
    </row>
    <row r="436" spans="4:5" x14ac:dyDescent="0.25">
      <c r="D436" s="237"/>
      <c r="E436" s="237"/>
    </row>
    <row r="437" spans="4:5" x14ac:dyDescent="0.25">
      <c r="D437" s="237"/>
      <c r="E437" s="237"/>
    </row>
    <row r="438" spans="4:5" x14ac:dyDescent="0.25">
      <c r="D438" s="237"/>
      <c r="E438" s="237"/>
    </row>
    <row r="439" spans="4:5" x14ac:dyDescent="0.25">
      <c r="D439" s="237"/>
      <c r="E439" s="237"/>
    </row>
    <row r="440" spans="4:5" x14ac:dyDescent="0.25">
      <c r="D440" s="237"/>
      <c r="E440" s="237"/>
    </row>
    <row r="441" spans="4:5" x14ac:dyDescent="0.25">
      <c r="D441" s="237"/>
      <c r="E441" s="237"/>
    </row>
    <row r="442" spans="4:5" x14ac:dyDescent="0.25">
      <c r="D442" s="237"/>
      <c r="E442" s="237"/>
    </row>
    <row r="443" spans="4:5" x14ac:dyDescent="0.25">
      <c r="D443" s="237"/>
      <c r="E443" s="237"/>
    </row>
    <row r="444" spans="4:5" x14ac:dyDescent="0.25">
      <c r="D444" s="237"/>
      <c r="E444" s="237"/>
    </row>
    <row r="445" spans="4:5" x14ac:dyDescent="0.25">
      <c r="D445" s="237"/>
      <c r="E445" s="237"/>
    </row>
    <row r="446" spans="4:5" x14ac:dyDescent="0.25">
      <c r="D446" s="237"/>
      <c r="E446" s="237"/>
    </row>
    <row r="447" spans="4:5" x14ac:dyDescent="0.25">
      <c r="D447" s="237"/>
      <c r="E447" s="237"/>
    </row>
    <row r="448" spans="4:5" x14ac:dyDescent="0.25">
      <c r="D448" s="237"/>
      <c r="E448" s="237"/>
    </row>
    <row r="449" spans="4:5" x14ac:dyDescent="0.25">
      <c r="D449" s="237"/>
      <c r="E449" s="237"/>
    </row>
    <row r="450" spans="4:5" x14ac:dyDescent="0.25">
      <c r="D450" s="237"/>
      <c r="E450" s="237"/>
    </row>
    <row r="451" spans="4:5" x14ac:dyDescent="0.25">
      <c r="D451" s="237"/>
      <c r="E451" s="237"/>
    </row>
    <row r="452" spans="4:5" x14ac:dyDescent="0.25">
      <c r="D452" s="237"/>
      <c r="E452" s="237"/>
    </row>
    <row r="453" spans="4:5" x14ac:dyDescent="0.25">
      <c r="D453" s="237"/>
      <c r="E453" s="237"/>
    </row>
    <row r="454" spans="4:5" x14ac:dyDescent="0.25">
      <c r="D454" s="237"/>
      <c r="E454" s="237"/>
    </row>
    <row r="455" spans="4:5" x14ac:dyDescent="0.25">
      <c r="D455" s="237"/>
      <c r="E455" s="237"/>
    </row>
    <row r="456" spans="4:5" x14ac:dyDescent="0.25">
      <c r="D456" s="237"/>
      <c r="E456" s="237"/>
    </row>
    <row r="457" spans="4:5" x14ac:dyDescent="0.25">
      <c r="D457" s="237"/>
      <c r="E457" s="237"/>
    </row>
    <row r="458" spans="4:5" x14ac:dyDescent="0.25">
      <c r="D458" s="237"/>
      <c r="E458" s="237"/>
    </row>
    <row r="459" spans="4:5" x14ac:dyDescent="0.25">
      <c r="D459" s="237"/>
      <c r="E459" s="237"/>
    </row>
    <row r="460" spans="4:5" x14ac:dyDescent="0.25">
      <c r="D460" s="237"/>
      <c r="E460" s="237"/>
    </row>
    <row r="461" spans="4:5" x14ac:dyDescent="0.25">
      <c r="D461" s="237"/>
      <c r="E461" s="237"/>
    </row>
    <row r="462" spans="4:5" x14ac:dyDescent="0.25">
      <c r="D462" s="237"/>
      <c r="E462" s="237"/>
    </row>
    <row r="463" spans="4:5" x14ac:dyDescent="0.25">
      <c r="D463" s="237"/>
      <c r="E463" s="237"/>
    </row>
    <row r="464" spans="4:5" x14ac:dyDescent="0.25">
      <c r="D464" s="237"/>
      <c r="E464" s="237"/>
    </row>
    <row r="465" spans="4:5" x14ac:dyDescent="0.25">
      <c r="D465" s="237"/>
      <c r="E465" s="237"/>
    </row>
    <row r="466" spans="4:5" x14ac:dyDescent="0.25">
      <c r="D466" s="237"/>
      <c r="E466" s="237"/>
    </row>
    <row r="467" spans="4:5" x14ac:dyDescent="0.25">
      <c r="D467" s="237"/>
      <c r="E467" s="237"/>
    </row>
    <row r="468" spans="4:5" x14ac:dyDescent="0.25">
      <c r="D468" s="237"/>
      <c r="E468" s="237"/>
    </row>
    <row r="469" spans="4:5" x14ac:dyDescent="0.25">
      <c r="D469" s="237"/>
      <c r="E469" s="237"/>
    </row>
    <row r="470" spans="4:5" x14ac:dyDescent="0.25">
      <c r="D470" s="237"/>
      <c r="E470" s="237"/>
    </row>
    <row r="471" spans="4:5" x14ac:dyDescent="0.25">
      <c r="D471" s="237"/>
      <c r="E471" s="237"/>
    </row>
    <row r="472" spans="4:5" x14ac:dyDescent="0.25">
      <c r="D472" s="237"/>
      <c r="E472" s="237"/>
    </row>
    <row r="473" spans="4:5" x14ac:dyDescent="0.25">
      <c r="D473" s="237"/>
      <c r="E473" s="237"/>
    </row>
    <row r="474" spans="4:5" x14ac:dyDescent="0.25">
      <c r="D474" s="237"/>
      <c r="E474" s="237"/>
    </row>
    <row r="475" spans="4:5" x14ac:dyDescent="0.25">
      <c r="D475" s="237"/>
      <c r="E475" s="237"/>
    </row>
    <row r="476" spans="4:5" x14ac:dyDescent="0.25">
      <c r="D476" s="237"/>
      <c r="E476" s="237"/>
    </row>
    <row r="477" spans="4:5" x14ac:dyDescent="0.25">
      <c r="D477" s="237"/>
      <c r="E477" s="237"/>
    </row>
    <row r="478" spans="4:5" x14ac:dyDescent="0.25">
      <c r="D478" s="237"/>
      <c r="E478" s="237"/>
    </row>
    <row r="479" spans="4:5" x14ac:dyDescent="0.25">
      <c r="D479" s="237"/>
      <c r="E479" s="237"/>
    </row>
    <row r="480" spans="4:5" x14ac:dyDescent="0.25">
      <c r="D480" s="237"/>
      <c r="E480" s="237"/>
    </row>
    <row r="481" spans="4:5" x14ac:dyDescent="0.25">
      <c r="D481" s="237"/>
      <c r="E481" s="237"/>
    </row>
    <row r="482" spans="4:5" x14ac:dyDescent="0.25">
      <c r="D482" s="237"/>
      <c r="E482" s="237"/>
    </row>
    <row r="483" spans="4:5" x14ac:dyDescent="0.25">
      <c r="D483" s="237"/>
      <c r="E483" s="237"/>
    </row>
    <row r="484" spans="4:5" x14ac:dyDescent="0.25">
      <c r="D484" s="237"/>
      <c r="E484" s="237"/>
    </row>
    <row r="485" spans="4:5" x14ac:dyDescent="0.25">
      <c r="D485" s="237"/>
      <c r="E485" s="237"/>
    </row>
    <row r="486" spans="4:5" x14ac:dyDescent="0.25">
      <c r="D486" s="237"/>
      <c r="E486" s="237"/>
    </row>
    <row r="487" spans="4:5" x14ac:dyDescent="0.25">
      <c r="D487" s="237"/>
      <c r="E487" s="237"/>
    </row>
    <row r="488" spans="4:5" x14ac:dyDescent="0.25">
      <c r="D488" s="237"/>
      <c r="E488" s="237"/>
    </row>
    <row r="489" spans="4:5" x14ac:dyDescent="0.25">
      <c r="D489" s="237"/>
      <c r="E489" s="237"/>
    </row>
    <row r="490" spans="4:5" x14ac:dyDescent="0.25">
      <c r="D490" s="237"/>
      <c r="E490" s="237"/>
    </row>
    <row r="491" spans="4:5" x14ac:dyDescent="0.25">
      <c r="D491" s="237"/>
      <c r="E491" s="237"/>
    </row>
    <row r="492" spans="4:5" x14ac:dyDescent="0.25">
      <c r="D492" s="237"/>
      <c r="E492" s="237"/>
    </row>
    <row r="493" spans="4:5" x14ac:dyDescent="0.25">
      <c r="D493" s="237"/>
      <c r="E493" s="237"/>
    </row>
    <row r="494" spans="4:5" x14ac:dyDescent="0.25">
      <c r="D494" s="237"/>
      <c r="E494" s="237"/>
    </row>
    <row r="495" spans="4:5" x14ac:dyDescent="0.25">
      <c r="D495" s="237"/>
      <c r="E495" s="237"/>
    </row>
    <row r="496" spans="4:5" x14ac:dyDescent="0.25">
      <c r="D496" s="237"/>
      <c r="E496" s="237"/>
    </row>
    <row r="497" spans="4:5" x14ac:dyDescent="0.25">
      <c r="D497" s="237"/>
      <c r="E497" s="237"/>
    </row>
    <row r="498" spans="4:5" x14ac:dyDescent="0.25">
      <c r="D498" s="237"/>
      <c r="E498" s="237"/>
    </row>
    <row r="499" spans="4:5" x14ac:dyDescent="0.25">
      <c r="D499" s="237"/>
      <c r="E499" s="237"/>
    </row>
    <row r="500" spans="4:5" x14ac:dyDescent="0.25">
      <c r="D500" s="237"/>
      <c r="E500" s="237"/>
    </row>
    <row r="501" spans="4:5" x14ac:dyDescent="0.25">
      <c r="D501" s="237"/>
      <c r="E501" s="237"/>
    </row>
    <row r="502" spans="4:5" x14ac:dyDescent="0.25">
      <c r="D502" s="237"/>
      <c r="E502" s="237"/>
    </row>
    <row r="503" spans="4:5" x14ac:dyDescent="0.25">
      <c r="D503" s="237"/>
      <c r="E503" s="237"/>
    </row>
    <row r="504" spans="4:5" x14ac:dyDescent="0.25">
      <c r="D504" s="237"/>
      <c r="E504" s="237"/>
    </row>
    <row r="505" spans="4:5" x14ac:dyDescent="0.25">
      <c r="D505" s="237"/>
      <c r="E505" s="237"/>
    </row>
    <row r="506" spans="4:5" x14ac:dyDescent="0.25">
      <c r="D506" s="237"/>
      <c r="E506" s="237"/>
    </row>
    <row r="507" spans="4:5" x14ac:dyDescent="0.25">
      <c r="D507" s="237"/>
      <c r="E507" s="237"/>
    </row>
    <row r="508" spans="4:5" x14ac:dyDescent="0.25">
      <c r="D508" s="237"/>
      <c r="E508" s="237"/>
    </row>
    <row r="509" spans="4:5" x14ac:dyDescent="0.25">
      <c r="D509" s="237"/>
      <c r="E509" s="237"/>
    </row>
    <row r="510" spans="4:5" x14ac:dyDescent="0.25">
      <c r="D510" s="237"/>
      <c r="E510" s="237"/>
    </row>
    <row r="511" spans="4:5" x14ac:dyDescent="0.25">
      <c r="D511" s="237"/>
      <c r="E511" s="237"/>
    </row>
    <row r="512" spans="4:5" x14ac:dyDescent="0.25">
      <c r="D512" s="237"/>
      <c r="E512" s="237"/>
    </row>
    <row r="513" spans="4:5" x14ac:dyDescent="0.25">
      <c r="D513" s="237"/>
      <c r="E513" s="237"/>
    </row>
    <row r="514" spans="4:5" x14ac:dyDescent="0.25">
      <c r="D514" s="237"/>
      <c r="E514" s="237"/>
    </row>
    <row r="515" spans="4:5" x14ac:dyDescent="0.25">
      <c r="D515" s="237"/>
      <c r="E515" s="237"/>
    </row>
    <row r="516" spans="4:5" x14ac:dyDescent="0.25">
      <c r="D516" s="237"/>
      <c r="E516" s="237"/>
    </row>
    <row r="517" spans="4:5" x14ac:dyDescent="0.25">
      <c r="D517" s="237"/>
      <c r="E517" s="237"/>
    </row>
    <row r="518" spans="4:5" x14ac:dyDescent="0.25">
      <c r="D518" s="237"/>
      <c r="E518" s="237"/>
    </row>
    <row r="519" spans="4:5" x14ac:dyDescent="0.25">
      <c r="D519" s="237"/>
      <c r="E519" s="237"/>
    </row>
    <row r="520" spans="4:5" x14ac:dyDescent="0.25">
      <c r="D520" s="237"/>
      <c r="E520" s="237"/>
    </row>
    <row r="521" spans="4:5" x14ac:dyDescent="0.25">
      <c r="D521" s="237"/>
      <c r="E521" s="237"/>
    </row>
    <row r="522" spans="4:5" x14ac:dyDescent="0.25">
      <c r="D522" s="237"/>
      <c r="E522" s="237"/>
    </row>
    <row r="523" spans="4:5" x14ac:dyDescent="0.25">
      <c r="D523" s="237"/>
      <c r="E523" s="237"/>
    </row>
    <row r="524" spans="4:5" x14ac:dyDescent="0.25">
      <c r="D524" s="237"/>
      <c r="E524" s="237"/>
    </row>
    <row r="525" spans="4:5" x14ac:dyDescent="0.25">
      <c r="D525" s="237"/>
      <c r="E525" s="237"/>
    </row>
    <row r="526" spans="4:5" x14ac:dyDescent="0.25">
      <c r="D526" s="237"/>
      <c r="E526" s="237"/>
    </row>
    <row r="527" spans="4:5" x14ac:dyDescent="0.25">
      <c r="D527" s="237"/>
      <c r="E527" s="237"/>
    </row>
    <row r="528" spans="4:5" x14ac:dyDescent="0.25">
      <c r="D528" s="237"/>
      <c r="E528" s="237"/>
    </row>
    <row r="529" spans="4:5" x14ac:dyDescent="0.25">
      <c r="D529" s="237"/>
      <c r="E529" s="237"/>
    </row>
    <row r="530" spans="4:5" x14ac:dyDescent="0.25">
      <c r="D530" s="237"/>
      <c r="E530" s="237"/>
    </row>
    <row r="531" spans="4:5" x14ac:dyDescent="0.25">
      <c r="D531" s="237"/>
      <c r="E531" s="237"/>
    </row>
    <row r="532" spans="4:5" x14ac:dyDescent="0.25">
      <c r="D532" s="237"/>
      <c r="E532" s="237"/>
    </row>
    <row r="533" spans="4:5" x14ac:dyDescent="0.25">
      <c r="D533" s="237"/>
      <c r="E533" s="237"/>
    </row>
    <row r="534" spans="4:5" x14ac:dyDescent="0.25">
      <c r="D534" s="237"/>
      <c r="E534" s="237"/>
    </row>
    <row r="535" spans="4:5" x14ac:dyDescent="0.25">
      <c r="D535" s="237"/>
      <c r="E535" s="237"/>
    </row>
    <row r="536" spans="4:5" x14ac:dyDescent="0.25">
      <c r="D536" s="237"/>
      <c r="E536" s="237"/>
    </row>
    <row r="537" spans="4:5" x14ac:dyDescent="0.25">
      <c r="D537" s="237"/>
      <c r="E537" s="237"/>
    </row>
    <row r="538" spans="4:5" x14ac:dyDescent="0.25">
      <c r="D538" s="237"/>
      <c r="E538" s="237"/>
    </row>
    <row r="539" spans="4:5" x14ac:dyDescent="0.25">
      <c r="D539" s="237"/>
      <c r="E539" s="237"/>
    </row>
    <row r="540" spans="4:5" x14ac:dyDescent="0.25">
      <c r="D540" s="237"/>
      <c r="E540" s="237"/>
    </row>
    <row r="541" spans="4:5" x14ac:dyDescent="0.25">
      <c r="D541" s="237"/>
      <c r="E541" s="237"/>
    </row>
    <row r="542" spans="4:5" x14ac:dyDescent="0.25">
      <c r="D542" s="237"/>
      <c r="E542" s="237"/>
    </row>
    <row r="543" spans="4:5" x14ac:dyDescent="0.25">
      <c r="D543" s="237"/>
      <c r="E543" s="237"/>
    </row>
    <row r="544" spans="4:5" x14ac:dyDescent="0.25">
      <c r="D544" s="237"/>
      <c r="E544" s="237"/>
    </row>
    <row r="545" spans="4:5" x14ac:dyDescent="0.25">
      <c r="D545" s="237"/>
      <c r="E545" s="237"/>
    </row>
    <row r="546" spans="4:5" x14ac:dyDescent="0.25">
      <c r="D546" s="237"/>
      <c r="E546" s="237"/>
    </row>
    <row r="547" spans="4:5" x14ac:dyDescent="0.25">
      <c r="D547" s="237"/>
      <c r="E547" s="237"/>
    </row>
    <row r="548" spans="4:5" x14ac:dyDescent="0.25">
      <c r="D548" s="237"/>
      <c r="E548" s="237"/>
    </row>
    <row r="549" spans="4:5" x14ac:dyDescent="0.25">
      <c r="D549" s="237"/>
      <c r="E549" s="237"/>
    </row>
    <row r="550" spans="4:5" x14ac:dyDescent="0.25">
      <c r="D550" s="237"/>
      <c r="E550" s="237"/>
    </row>
    <row r="551" spans="4:5" x14ac:dyDescent="0.25">
      <c r="D551" s="237"/>
      <c r="E551" s="237"/>
    </row>
    <row r="552" spans="4:5" x14ac:dyDescent="0.25">
      <c r="D552" s="237"/>
      <c r="E552" s="237"/>
    </row>
    <row r="553" spans="4:5" x14ac:dyDescent="0.25">
      <c r="D553" s="237"/>
      <c r="E553" s="237"/>
    </row>
    <row r="554" spans="4:5" x14ac:dyDescent="0.25">
      <c r="D554" s="237"/>
      <c r="E554" s="237"/>
    </row>
    <row r="555" spans="4:5" x14ac:dyDescent="0.25">
      <c r="D555" s="237"/>
      <c r="E555" s="237"/>
    </row>
    <row r="556" spans="4:5" x14ac:dyDescent="0.25">
      <c r="D556" s="237"/>
      <c r="E556" s="237"/>
    </row>
    <row r="557" spans="4:5" x14ac:dyDescent="0.25">
      <c r="D557" s="237"/>
      <c r="E557" s="237"/>
    </row>
    <row r="558" spans="4:5" x14ac:dyDescent="0.25">
      <c r="D558" s="237"/>
      <c r="E558" s="237"/>
    </row>
    <row r="559" spans="4:5" x14ac:dyDescent="0.25">
      <c r="D559" s="237"/>
      <c r="E559" s="237"/>
    </row>
    <row r="560" spans="4:5" x14ac:dyDescent="0.25">
      <c r="D560" s="237"/>
      <c r="E560" s="237"/>
    </row>
    <row r="561" spans="4:5" x14ac:dyDescent="0.25">
      <c r="D561" s="237"/>
      <c r="E561" s="237"/>
    </row>
    <row r="562" spans="4:5" x14ac:dyDescent="0.25">
      <c r="D562" s="237"/>
      <c r="E562" s="237"/>
    </row>
    <row r="563" spans="4:5" x14ac:dyDescent="0.25">
      <c r="D563" s="237"/>
      <c r="E563" s="237"/>
    </row>
    <row r="564" spans="4:5" x14ac:dyDescent="0.25">
      <c r="D564" s="237"/>
      <c r="E564" s="237"/>
    </row>
    <row r="565" spans="4:5" x14ac:dyDescent="0.25">
      <c r="D565" s="237"/>
      <c r="E565" s="237"/>
    </row>
    <row r="566" spans="4:5" x14ac:dyDescent="0.25">
      <c r="D566" s="237"/>
      <c r="E566" s="237"/>
    </row>
    <row r="567" spans="4:5" x14ac:dyDescent="0.25">
      <c r="D567" s="237"/>
      <c r="E567" s="237"/>
    </row>
    <row r="568" spans="4:5" x14ac:dyDescent="0.25">
      <c r="D568" s="237"/>
      <c r="E568" s="237"/>
    </row>
    <row r="569" spans="4:5" x14ac:dyDescent="0.25">
      <c r="D569" s="237"/>
      <c r="E569" s="237"/>
    </row>
    <row r="570" spans="4:5" x14ac:dyDescent="0.25">
      <c r="D570" s="237"/>
      <c r="E570" s="237"/>
    </row>
    <row r="571" spans="4:5" x14ac:dyDescent="0.25">
      <c r="D571" s="237"/>
      <c r="E571" s="237"/>
    </row>
    <row r="572" spans="4:5" x14ac:dyDescent="0.25">
      <c r="D572" s="237"/>
      <c r="E572" s="237"/>
    </row>
    <row r="573" spans="4:5" x14ac:dyDescent="0.25">
      <c r="D573" s="237"/>
      <c r="E573" s="237"/>
    </row>
    <row r="574" spans="4:5" x14ac:dyDescent="0.25">
      <c r="D574" s="237"/>
      <c r="E574" s="237"/>
    </row>
    <row r="575" spans="4:5" x14ac:dyDescent="0.25">
      <c r="D575" s="237"/>
      <c r="E575" s="237"/>
    </row>
    <row r="576" spans="4:5" x14ac:dyDescent="0.25">
      <c r="D576" s="237"/>
      <c r="E576" s="237"/>
    </row>
    <row r="577" spans="4:5" x14ac:dyDescent="0.25">
      <c r="D577" s="237"/>
      <c r="E577" s="237"/>
    </row>
    <row r="578" spans="4:5" x14ac:dyDescent="0.25">
      <c r="D578" s="237"/>
      <c r="E578" s="237"/>
    </row>
    <row r="579" spans="4:5" x14ac:dyDescent="0.25">
      <c r="D579" s="237"/>
      <c r="E579" s="237"/>
    </row>
    <row r="580" spans="4:5" x14ac:dyDescent="0.25">
      <c r="D580" s="237"/>
      <c r="E580" s="237"/>
    </row>
    <row r="581" spans="4:5" x14ac:dyDescent="0.25">
      <c r="D581" s="237"/>
      <c r="E581" s="237"/>
    </row>
    <row r="582" spans="4:5" x14ac:dyDescent="0.25">
      <c r="D582" s="237"/>
      <c r="E582" s="237"/>
    </row>
    <row r="583" spans="4:5" x14ac:dyDescent="0.25">
      <c r="D583" s="237"/>
      <c r="E583" s="237"/>
    </row>
    <row r="584" spans="4:5" x14ac:dyDescent="0.25">
      <c r="D584" s="237"/>
      <c r="E584" s="237"/>
    </row>
    <row r="585" spans="4:5" x14ac:dyDescent="0.25">
      <c r="D585" s="237"/>
      <c r="E585" s="237"/>
    </row>
    <row r="586" spans="4:5" x14ac:dyDescent="0.25">
      <c r="D586" s="237"/>
      <c r="E586" s="237"/>
    </row>
    <row r="587" spans="4:5" x14ac:dyDescent="0.25">
      <c r="D587" s="237"/>
      <c r="E587" s="237"/>
    </row>
    <row r="588" spans="4:5" x14ac:dyDescent="0.25">
      <c r="D588" s="237"/>
      <c r="E588" s="237"/>
    </row>
    <row r="589" spans="4:5" x14ac:dyDescent="0.25">
      <c r="D589" s="237"/>
      <c r="E589" s="237"/>
    </row>
    <row r="590" spans="4:5" x14ac:dyDescent="0.25">
      <c r="D590" s="237"/>
      <c r="E590" s="237"/>
    </row>
    <row r="591" spans="4:5" x14ac:dyDescent="0.25">
      <c r="D591" s="237"/>
      <c r="E591" s="237"/>
    </row>
    <row r="592" spans="4:5" x14ac:dyDescent="0.25">
      <c r="D592" s="237"/>
      <c r="E592" s="237"/>
    </row>
    <row r="593" spans="4:5" x14ac:dyDescent="0.25">
      <c r="D593" s="237"/>
      <c r="E593" s="237"/>
    </row>
    <row r="594" spans="4:5" x14ac:dyDescent="0.25">
      <c r="D594" s="237"/>
      <c r="E594" s="237"/>
    </row>
    <row r="595" spans="4:5" x14ac:dyDescent="0.25">
      <c r="D595" s="237"/>
      <c r="E595" s="237"/>
    </row>
    <row r="596" spans="4:5" x14ac:dyDescent="0.25">
      <c r="D596" s="237"/>
      <c r="E596" s="237"/>
    </row>
    <row r="597" spans="4:5" x14ac:dyDescent="0.25">
      <c r="D597" s="237"/>
      <c r="E597" s="237"/>
    </row>
    <row r="598" spans="4:5" x14ac:dyDescent="0.25">
      <c r="D598" s="237"/>
      <c r="E598" s="237"/>
    </row>
    <row r="599" spans="4:5" x14ac:dyDescent="0.25">
      <c r="D599" s="237"/>
      <c r="E599" s="237"/>
    </row>
    <row r="600" spans="4:5" x14ac:dyDescent="0.25">
      <c r="D600" s="237"/>
      <c r="E600" s="237"/>
    </row>
    <row r="601" spans="4:5" x14ac:dyDescent="0.25">
      <c r="D601" s="237"/>
      <c r="E601" s="237"/>
    </row>
    <row r="602" spans="4:5" x14ac:dyDescent="0.25">
      <c r="D602" s="237"/>
      <c r="E602" s="237"/>
    </row>
    <row r="603" spans="4:5" x14ac:dyDescent="0.25">
      <c r="D603" s="237"/>
      <c r="E603" s="237"/>
    </row>
    <row r="604" spans="4:5" x14ac:dyDescent="0.25">
      <c r="D604" s="237"/>
      <c r="E604" s="237"/>
    </row>
    <row r="605" spans="4:5" x14ac:dyDescent="0.25">
      <c r="D605" s="237"/>
      <c r="E605" s="237"/>
    </row>
    <row r="606" spans="4:5" x14ac:dyDescent="0.25">
      <c r="D606" s="237"/>
      <c r="E606" s="237"/>
    </row>
    <row r="607" spans="4:5" x14ac:dyDescent="0.25">
      <c r="D607" s="237"/>
      <c r="E607" s="237"/>
    </row>
    <row r="608" spans="4:5" x14ac:dyDescent="0.25">
      <c r="D608" s="237"/>
      <c r="E608" s="237"/>
    </row>
    <row r="609" spans="4:5" x14ac:dyDescent="0.25">
      <c r="D609" s="237"/>
      <c r="E609" s="237"/>
    </row>
    <row r="610" spans="4:5" x14ac:dyDescent="0.25">
      <c r="D610" s="237"/>
      <c r="E610" s="237"/>
    </row>
    <row r="611" spans="4:5" x14ac:dyDescent="0.25">
      <c r="D611" s="237"/>
      <c r="E611" s="237"/>
    </row>
    <row r="612" spans="4:5" x14ac:dyDescent="0.25">
      <c r="D612" s="237"/>
      <c r="E612" s="237"/>
    </row>
    <row r="613" spans="4:5" x14ac:dyDescent="0.25">
      <c r="D613" s="237"/>
      <c r="E613" s="237"/>
    </row>
    <row r="614" spans="4:5" x14ac:dyDescent="0.25">
      <c r="D614" s="237"/>
      <c r="E614" s="237"/>
    </row>
    <row r="615" spans="4:5" x14ac:dyDescent="0.25">
      <c r="D615" s="237"/>
      <c r="E615" s="237"/>
    </row>
    <row r="616" spans="4:5" x14ac:dyDescent="0.25">
      <c r="D616" s="237"/>
      <c r="E616" s="237"/>
    </row>
    <row r="617" spans="4:5" x14ac:dyDescent="0.25">
      <c r="D617" s="237"/>
      <c r="E617" s="237"/>
    </row>
    <row r="618" spans="4:5" x14ac:dyDescent="0.25">
      <c r="D618" s="237"/>
      <c r="E618" s="237"/>
    </row>
    <row r="619" spans="4:5" x14ac:dyDescent="0.25">
      <c r="D619" s="237"/>
      <c r="E619" s="237"/>
    </row>
    <row r="620" spans="4:5" x14ac:dyDescent="0.25">
      <c r="D620" s="237"/>
      <c r="E620" s="237"/>
    </row>
    <row r="621" spans="4:5" x14ac:dyDescent="0.25">
      <c r="D621" s="237"/>
      <c r="E621" s="237"/>
    </row>
    <row r="622" spans="4:5" x14ac:dyDescent="0.25">
      <c r="D622" s="237"/>
      <c r="E622" s="237"/>
    </row>
    <row r="623" spans="4:5" x14ac:dyDescent="0.25">
      <c r="D623" s="237"/>
      <c r="E623" s="237"/>
    </row>
    <row r="624" spans="4:5" x14ac:dyDescent="0.25">
      <c r="D624" s="237"/>
      <c r="E624" s="237"/>
    </row>
    <row r="625" spans="4:5" x14ac:dyDescent="0.25">
      <c r="D625" s="237"/>
      <c r="E625" s="237"/>
    </row>
    <row r="626" spans="4:5" x14ac:dyDescent="0.25">
      <c r="D626" s="237"/>
      <c r="E626" s="237"/>
    </row>
    <row r="627" spans="4:5" x14ac:dyDescent="0.25">
      <c r="D627" s="237"/>
      <c r="E627" s="237"/>
    </row>
    <row r="628" spans="4:5" x14ac:dyDescent="0.25">
      <c r="D628" s="237"/>
      <c r="E628" s="237"/>
    </row>
    <row r="629" spans="4:5" x14ac:dyDescent="0.25">
      <c r="D629" s="237"/>
      <c r="E629" s="237"/>
    </row>
    <row r="630" spans="4:5" x14ac:dyDescent="0.25">
      <c r="D630" s="237"/>
      <c r="E630" s="237"/>
    </row>
    <row r="631" spans="4:5" x14ac:dyDescent="0.25">
      <c r="D631" s="237"/>
      <c r="E631" s="237"/>
    </row>
    <row r="632" spans="4:5" x14ac:dyDescent="0.25">
      <c r="D632" s="237"/>
      <c r="E632" s="237"/>
    </row>
    <row r="633" spans="4:5" x14ac:dyDescent="0.25">
      <c r="D633" s="237"/>
      <c r="E633" s="237"/>
    </row>
    <row r="634" spans="4:5" x14ac:dyDescent="0.25">
      <c r="D634" s="237"/>
      <c r="E634" s="237"/>
    </row>
    <row r="635" spans="4:5" x14ac:dyDescent="0.25">
      <c r="D635" s="237"/>
      <c r="E635" s="237"/>
    </row>
    <row r="636" spans="4:5" x14ac:dyDescent="0.25">
      <c r="D636" s="237"/>
      <c r="E636" s="237"/>
    </row>
    <row r="637" spans="4:5" x14ac:dyDescent="0.25">
      <c r="D637" s="237"/>
      <c r="E637" s="237"/>
    </row>
    <row r="638" spans="4:5" x14ac:dyDescent="0.25">
      <c r="D638" s="237"/>
      <c r="E638" s="237"/>
    </row>
    <row r="639" spans="4:5" x14ac:dyDescent="0.25">
      <c r="D639" s="237"/>
      <c r="E639" s="237"/>
    </row>
    <row r="640" spans="4:5" x14ac:dyDescent="0.25">
      <c r="D640" s="237"/>
      <c r="E640" s="237"/>
    </row>
    <row r="641" spans="4:5" x14ac:dyDescent="0.25">
      <c r="D641" s="237"/>
      <c r="E641" s="237"/>
    </row>
    <row r="642" spans="4:5" x14ac:dyDescent="0.25">
      <c r="D642" s="237"/>
      <c r="E642" s="237"/>
    </row>
    <row r="643" spans="4:5" x14ac:dyDescent="0.25">
      <c r="D643" s="237"/>
      <c r="E643" s="237"/>
    </row>
    <row r="644" spans="4:5" x14ac:dyDescent="0.25">
      <c r="D644" s="237"/>
      <c r="E644" s="237"/>
    </row>
    <row r="645" spans="4:5" x14ac:dyDescent="0.25">
      <c r="D645" s="237"/>
      <c r="E645" s="237"/>
    </row>
    <row r="646" spans="4:5" x14ac:dyDescent="0.25">
      <c r="D646" s="237"/>
      <c r="E646" s="237"/>
    </row>
    <row r="647" spans="4:5" x14ac:dyDescent="0.25">
      <c r="D647" s="237"/>
      <c r="E647" s="237"/>
    </row>
    <row r="648" spans="4:5" x14ac:dyDescent="0.25">
      <c r="D648" s="237"/>
      <c r="E648" s="237"/>
    </row>
    <row r="649" spans="4:5" x14ac:dyDescent="0.25">
      <c r="D649" s="237"/>
      <c r="E649" s="237"/>
    </row>
    <row r="650" spans="4:5" x14ac:dyDescent="0.25">
      <c r="D650" s="237"/>
      <c r="E650" s="237"/>
    </row>
    <row r="651" spans="4:5" x14ac:dyDescent="0.25">
      <c r="D651" s="237"/>
      <c r="E651" s="237"/>
    </row>
    <row r="652" spans="4:5" x14ac:dyDescent="0.25">
      <c r="D652" s="237"/>
      <c r="E652" s="237"/>
    </row>
    <row r="653" spans="4:5" x14ac:dyDescent="0.25">
      <c r="D653" s="237"/>
      <c r="E653" s="237"/>
    </row>
    <row r="654" spans="4:5" x14ac:dyDescent="0.25">
      <c r="D654" s="237"/>
      <c r="E654" s="237"/>
    </row>
    <row r="655" spans="4:5" x14ac:dyDescent="0.25">
      <c r="D655" s="237"/>
      <c r="E655" s="237"/>
    </row>
    <row r="656" spans="4:5" x14ac:dyDescent="0.25">
      <c r="D656" s="237"/>
      <c r="E656" s="237"/>
    </row>
    <row r="657" spans="4:5" x14ac:dyDescent="0.25">
      <c r="D657" s="237"/>
      <c r="E657" s="237"/>
    </row>
    <row r="658" spans="4:5" x14ac:dyDescent="0.25">
      <c r="D658" s="237"/>
      <c r="E658" s="237"/>
    </row>
    <row r="659" spans="4:5" x14ac:dyDescent="0.25">
      <c r="D659" s="237"/>
      <c r="E659" s="237"/>
    </row>
    <row r="660" spans="4:5" x14ac:dyDescent="0.25">
      <c r="D660" s="237"/>
      <c r="E660" s="237"/>
    </row>
    <row r="661" spans="4:5" x14ac:dyDescent="0.25">
      <c r="D661" s="237"/>
      <c r="E661" s="237"/>
    </row>
    <row r="662" spans="4:5" x14ac:dyDescent="0.25">
      <c r="D662" s="237"/>
      <c r="E662" s="237"/>
    </row>
    <row r="663" spans="4:5" x14ac:dyDescent="0.25">
      <c r="D663" s="237"/>
      <c r="E663" s="237"/>
    </row>
    <row r="664" spans="4:5" x14ac:dyDescent="0.25">
      <c r="D664" s="237"/>
      <c r="E664" s="237"/>
    </row>
    <row r="665" spans="4:5" x14ac:dyDescent="0.25">
      <c r="D665" s="237"/>
      <c r="E665" s="237"/>
    </row>
    <row r="666" spans="4:5" x14ac:dyDescent="0.25">
      <c r="D666" s="237"/>
      <c r="E666" s="237"/>
    </row>
    <row r="667" spans="4:5" x14ac:dyDescent="0.25">
      <c r="D667" s="237"/>
      <c r="E667" s="237"/>
    </row>
    <row r="668" spans="4:5" x14ac:dyDescent="0.25">
      <c r="D668" s="237"/>
      <c r="E668" s="237"/>
    </row>
    <row r="669" spans="4:5" x14ac:dyDescent="0.25">
      <c r="D669" s="237"/>
      <c r="E669" s="237"/>
    </row>
    <row r="670" spans="4:5" x14ac:dyDescent="0.25">
      <c r="D670" s="237"/>
      <c r="E670" s="237"/>
    </row>
    <row r="671" spans="4:5" x14ac:dyDescent="0.25">
      <c r="D671" s="237"/>
      <c r="E671" s="237"/>
    </row>
    <row r="672" spans="4:5" x14ac:dyDescent="0.25">
      <c r="D672" s="237"/>
      <c r="E672" s="237"/>
    </row>
    <row r="673" spans="4:5" x14ac:dyDescent="0.25">
      <c r="D673" s="237"/>
      <c r="E673" s="237"/>
    </row>
    <row r="674" spans="4:5" x14ac:dyDescent="0.25">
      <c r="D674" s="237"/>
      <c r="E674" s="237"/>
    </row>
    <row r="675" spans="4:5" x14ac:dyDescent="0.25">
      <c r="D675" s="237"/>
      <c r="E675" s="237"/>
    </row>
    <row r="676" spans="4:5" x14ac:dyDescent="0.25">
      <c r="D676" s="237"/>
      <c r="E676" s="237"/>
    </row>
    <row r="677" spans="4:5" x14ac:dyDescent="0.25">
      <c r="D677" s="237"/>
      <c r="E677" s="237"/>
    </row>
    <row r="678" spans="4:5" x14ac:dyDescent="0.25">
      <c r="D678" s="237"/>
      <c r="E678" s="237"/>
    </row>
    <row r="679" spans="4:5" x14ac:dyDescent="0.25">
      <c r="D679" s="237"/>
      <c r="E679" s="237"/>
    </row>
    <row r="680" spans="4:5" x14ac:dyDescent="0.25">
      <c r="D680" s="237"/>
      <c r="E680" s="237"/>
    </row>
    <row r="681" spans="4:5" x14ac:dyDescent="0.25">
      <c r="D681" s="237"/>
      <c r="E681" s="237"/>
    </row>
    <row r="682" spans="4:5" x14ac:dyDescent="0.25">
      <c r="D682" s="237"/>
      <c r="E682" s="237"/>
    </row>
    <row r="683" spans="4:5" x14ac:dyDescent="0.25">
      <c r="D683" s="237"/>
      <c r="E683" s="237"/>
    </row>
    <row r="684" spans="4:5" x14ac:dyDescent="0.25">
      <c r="D684" s="237"/>
      <c r="E684" s="237"/>
    </row>
    <row r="685" spans="4:5" x14ac:dyDescent="0.25">
      <c r="D685" s="237"/>
      <c r="E685" s="237"/>
    </row>
    <row r="686" spans="4:5" x14ac:dyDescent="0.25">
      <c r="D686" s="237"/>
      <c r="E686" s="237"/>
    </row>
    <row r="687" spans="4:5" x14ac:dyDescent="0.25">
      <c r="D687" s="237"/>
      <c r="E687" s="237"/>
    </row>
    <row r="688" spans="4:5" x14ac:dyDescent="0.25">
      <c r="D688" s="237"/>
      <c r="E688" s="237"/>
    </row>
    <row r="689" spans="4:5" x14ac:dyDescent="0.25">
      <c r="D689" s="237"/>
      <c r="E689" s="237"/>
    </row>
    <row r="690" spans="4:5" x14ac:dyDescent="0.25">
      <c r="D690" s="237"/>
      <c r="E690" s="237"/>
    </row>
    <row r="691" spans="4:5" x14ac:dyDescent="0.25">
      <c r="D691" s="237"/>
      <c r="E691" s="237"/>
    </row>
    <row r="692" spans="4:5" x14ac:dyDescent="0.25">
      <c r="D692" s="237"/>
      <c r="E692" s="237"/>
    </row>
    <row r="693" spans="4:5" x14ac:dyDescent="0.25">
      <c r="D693" s="237"/>
      <c r="E693" s="237"/>
    </row>
    <row r="694" spans="4:5" x14ac:dyDescent="0.25">
      <c r="D694" s="237"/>
      <c r="E694" s="237"/>
    </row>
    <row r="695" spans="4:5" x14ac:dyDescent="0.25">
      <c r="D695" s="237"/>
      <c r="E695" s="237"/>
    </row>
    <row r="696" spans="4:5" x14ac:dyDescent="0.25">
      <c r="D696" s="237"/>
      <c r="E696" s="237"/>
    </row>
    <row r="697" spans="4:5" x14ac:dyDescent="0.25">
      <c r="D697" s="237"/>
      <c r="E697" s="237"/>
    </row>
    <row r="698" spans="4:5" x14ac:dyDescent="0.25">
      <c r="D698" s="237"/>
      <c r="E698" s="237"/>
    </row>
    <row r="699" spans="4:5" x14ac:dyDescent="0.25">
      <c r="D699" s="237"/>
      <c r="E699" s="237"/>
    </row>
    <row r="700" spans="4:5" x14ac:dyDescent="0.25">
      <c r="D700" s="237"/>
      <c r="E700" s="237"/>
    </row>
    <row r="701" spans="4:5" x14ac:dyDescent="0.25">
      <c r="D701" s="237"/>
      <c r="E701" s="237"/>
    </row>
    <row r="702" spans="4:5" x14ac:dyDescent="0.25">
      <c r="D702" s="237"/>
      <c r="E702" s="237"/>
    </row>
    <row r="703" spans="4:5" x14ac:dyDescent="0.25">
      <c r="D703" s="237"/>
      <c r="E703" s="237"/>
    </row>
    <row r="704" spans="4:5" x14ac:dyDescent="0.25">
      <c r="D704" s="237"/>
      <c r="E704" s="237"/>
    </row>
    <row r="705" spans="4:5" x14ac:dyDescent="0.25">
      <c r="D705" s="237"/>
      <c r="E705" s="237"/>
    </row>
    <row r="706" spans="4:5" x14ac:dyDescent="0.25">
      <c r="D706" s="237"/>
      <c r="E706" s="237"/>
    </row>
    <row r="707" spans="4:5" x14ac:dyDescent="0.25">
      <c r="D707" s="237"/>
      <c r="E707" s="237"/>
    </row>
    <row r="708" spans="4:5" x14ac:dyDescent="0.25">
      <c r="D708" s="237"/>
      <c r="E708" s="237"/>
    </row>
    <row r="709" spans="4:5" x14ac:dyDescent="0.25">
      <c r="D709" s="237"/>
      <c r="E709" s="237"/>
    </row>
    <row r="710" spans="4:5" x14ac:dyDescent="0.25">
      <c r="D710" s="237"/>
      <c r="E710" s="237"/>
    </row>
    <row r="711" spans="4:5" x14ac:dyDescent="0.25">
      <c r="D711" s="237"/>
      <c r="E711" s="237"/>
    </row>
    <row r="712" spans="4:5" x14ac:dyDescent="0.25">
      <c r="D712" s="237"/>
      <c r="E712" s="237"/>
    </row>
    <row r="713" spans="4:5" x14ac:dyDescent="0.25">
      <c r="D713" s="237"/>
      <c r="E713" s="237"/>
    </row>
    <row r="714" spans="4:5" x14ac:dyDescent="0.25">
      <c r="D714" s="237"/>
      <c r="E714" s="237"/>
    </row>
    <row r="715" spans="4:5" x14ac:dyDescent="0.25">
      <c r="D715" s="237"/>
      <c r="E715" s="237"/>
    </row>
    <row r="716" spans="4:5" x14ac:dyDescent="0.25">
      <c r="D716" s="237"/>
      <c r="E716" s="237"/>
    </row>
    <row r="717" spans="4:5" x14ac:dyDescent="0.25">
      <c r="D717" s="237"/>
      <c r="E717" s="237"/>
    </row>
    <row r="718" spans="4:5" x14ac:dyDescent="0.25">
      <c r="D718" s="237"/>
      <c r="E718" s="237"/>
    </row>
    <row r="719" spans="4:5" x14ac:dyDescent="0.25">
      <c r="D719" s="237"/>
      <c r="E719" s="237"/>
    </row>
    <row r="720" spans="4:5" x14ac:dyDescent="0.25">
      <c r="D720" s="237"/>
      <c r="E720" s="237"/>
    </row>
    <row r="721" spans="4:5" x14ac:dyDescent="0.25">
      <c r="D721" s="237"/>
      <c r="E721" s="237"/>
    </row>
    <row r="722" spans="4:5" x14ac:dyDescent="0.25">
      <c r="D722" s="237"/>
      <c r="E722" s="237"/>
    </row>
    <row r="723" spans="4:5" x14ac:dyDescent="0.25">
      <c r="D723" s="237"/>
      <c r="E723" s="237"/>
    </row>
    <row r="724" spans="4:5" x14ac:dyDescent="0.25">
      <c r="D724" s="237"/>
      <c r="E724" s="237"/>
    </row>
    <row r="725" spans="4:5" x14ac:dyDescent="0.25">
      <c r="D725" s="237"/>
      <c r="E725" s="237"/>
    </row>
    <row r="726" spans="4:5" x14ac:dyDescent="0.25">
      <c r="D726" s="237"/>
      <c r="E726" s="237"/>
    </row>
    <row r="727" spans="4:5" x14ac:dyDescent="0.25">
      <c r="D727" s="237"/>
      <c r="E727" s="237"/>
    </row>
  </sheetData>
  <conditionalFormatting sqref="A7:C96 F7:K96">
    <cfRule type="expression" dxfId="2" priority="3">
      <formula>IF($A7&lt;&gt;"",1,0)</formula>
    </cfRule>
  </conditionalFormatting>
  <printOptions horizontalCentered="1"/>
  <pageMargins left="0.39370078740157483" right="0.39370078740157483" top="0.59055118110236227" bottom="0.39370078740157483" header="0.39370078740157483" footer="0.19685039370078741"/>
  <pageSetup paperSize="9" orientation="landscape" r:id="rId1"/>
  <headerFooter>
    <oddFooter>&amp;L&amp;"-,Kurzíva"&amp;8&amp;D, &amp;T&amp;C&amp;"-,Kurzíva"&amp;8&amp;P / &amp;N</oddFooter>
  </headerFooter>
  <drawing r:id="rId2"/>
  <legacyDrawing r:id="rId3"/>
  <controls>
    <mc:AlternateContent xmlns:mc="http://schemas.openxmlformats.org/markup-compatibility/2006">
      <mc:Choice Requires="x14">
        <control shapeId="6145" r:id="rId4" name="cb_Vymaz_polozky_z_databaze">
          <controlPr defaultSize="0" disabled="1" autoLine="0" r:id="rId5">
            <anchor>
              <from>
                <xdr:col>11</xdr:col>
                <xdr:colOff>152400</xdr:colOff>
                <xdr:row>11</xdr:row>
                <xdr:rowOff>133350</xdr:rowOff>
              </from>
              <to>
                <xdr:col>14</xdr:col>
                <xdr:colOff>504825</xdr:colOff>
                <xdr:row>13</xdr:row>
                <xdr:rowOff>85725</xdr:rowOff>
              </to>
            </anchor>
          </controlPr>
        </control>
      </mc:Choice>
      <mc:Fallback>
        <control shapeId="6145" r:id="rId4" name="cb_Vymaz_polozky_z_databaze"/>
      </mc:Fallback>
    </mc:AlternateContent>
    <mc:AlternateContent xmlns:mc="http://schemas.openxmlformats.org/markup-compatibility/2006">
      <mc:Choice Requires="x14">
        <control shapeId="6146" r:id="rId6" name="cb_Vymaz_cele_databaze">
          <controlPr defaultSize="0" disabled="1" autoLine="0" r:id="rId7">
            <anchor>
              <from>
                <xdr:col>11</xdr:col>
                <xdr:colOff>152400</xdr:colOff>
                <xdr:row>15</xdr:row>
                <xdr:rowOff>114300</xdr:rowOff>
              </from>
              <to>
                <xdr:col>14</xdr:col>
                <xdr:colOff>476250</xdr:colOff>
                <xdr:row>17</xdr:row>
                <xdr:rowOff>57150</xdr:rowOff>
              </to>
            </anchor>
          </controlPr>
        </control>
      </mc:Choice>
      <mc:Fallback>
        <control shapeId="6146" r:id="rId6" name="cb_Vymaz_cele_databaze"/>
      </mc:Fallback>
    </mc:AlternateContent>
    <mc:AlternateContent xmlns:mc="http://schemas.openxmlformats.org/markup-compatibility/2006">
      <mc:Choice Requires="x14">
        <control shapeId="6147" r:id="rId8" name="cb_Zpet">
          <controlPr defaultSize="0" autoLine="0" r:id="rId9">
            <anchor moveWithCells="1">
              <from>
                <xdr:col>11</xdr:col>
                <xdr:colOff>152400</xdr:colOff>
                <xdr:row>2</xdr:row>
                <xdr:rowOff>104775</xdr:rowOff>
              </from>
              <to>
                <xdr:col>14</xdr:col>
                <xdr:colOff>466725</xdr:colOff>
                <xdr:row>4</xdr:row>
                <xdr:rowOff>47625</xdr:rowOff>
              </to>
            </anchor>
          </controlPr>
        </control>
      </mc:Choice>
      <mc:Fallback>
        <control shapeId="6147" r:id="rId8" name="cb_Zpet"/>
      </mc:Fallback>
    </mc:AlternateContent>
    <mc:AlternateContent xmlns:mc="http://schemas.openxmlformats.org/markup-compatibility/2006">
      <mc:Choice Requires="x14">
        <control shapeId="6148" r:id="rId10" name="cb_Export_databaze">
          <controlPr defaultSize="0" disabled="1" autoLine="0" r:id="rId11">
            <anchor>
              <from>
                <xdr:col>11</xdr:col>
                <xdr:colOff>152400</xdr:colOff>
                <xdr:row>24</xdr:row>
                <xdr:rowOff>47625</xdr:rowOff>
              </from>
              <to>
                <xdr:col>14</xdr:col>
                <xdr:colOff>466725</xdr:colOff>
                <xdr:row>25</xdr:row>
                <xdr:rowOff>180975</xdr:rowOff>
              </to>
            </anchor>
          </controlPr>
        </control>
      </mc:Choice>
      <mc:Fallback>
        <control shapeId="6148" r:id="rId10" name="cb_Export_databaze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2B72249C-BC88-4F63-B7AA-5023829E0A83}">
            <xm:f>logic!$K$64=2</xm:f>
            <x14:dxf>
              <numFmt numFmtId="18" formatCode="#&quot; &quot;??/??"/>
            </x14:dxf>
          </x14:cfRule>
          <x14:cfRule type="expression" priority="2" id="{1828F9A0-1A1C-4EE8-A967-D1151E610C14}">
            <xm:f>logic!$K$64=1</xm:f>
            <x14:dxf>
              <numFmt numFmtId="1" formatCode="0"/>
            </x14:dxf>
          </x14:cfRule>
          <xm:sqref>D1:E1048576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5">
    <tabColor rgb="FFFFC000"/>
    <pageSetUpPr fitToPage="1"/>
  </sheetPr>
  <dimension ref="B1:BR79"/>
  <sheetViews>
    <sheetView showGridLines="0" zoomScale="60" zoomScaleNormal="60" zoomScaleSheetLayoutView="100" workbookViewId="0">
      <selection activeCell="D64" sqref="D64"/>
    </sheetView>
  </sheetViews>
  <sheetFormatPr defaultRowHeight="15" x14ac:dyDescent="0.25"/>
  <cols>
    <col min="1" max="1" width="10.140625" customWidth="1"/>
    <col min="2" max="12" width="8.28515625" customWidth="1"/>
    <col min="13" max="13" width="8.7109375" customWidth="1"/>
    <col min="21" max="25" width="8.28515625" customWidth="1"/>
    <col min="26" max="26" width="8.7109375" customWidth="1"/>
    <col min="27" max="27" width="7.28515625" customWidth="1"/>
    <col min="28" max="28" width="5.140625" customWidth="1"/>
    <col min="31" max="31" width="7" customWidth="1"/>
  </cols>
  <sheetData>
    <row r="1" spans="2:59" x14ac:dyDescent="0.25">
      <c r="N1" s="18"/>
    </row>
    <row r="2" spans="2:59" x14ac:dyDescent="0.25">
      <c r="C2">
        <v>320</v>
      </c>
      <c r="E2">
        <v>1.2363</v>
      </c>
      <c r="J2" t="s">
        <v>640</v>
      </c>
    </row>
    <row r="3" spans="2:59" x14ac:dyDescent="0.25">
      <c r="C3" s="59" t="str">
        <f>logic!P4</f>
        <v>Температура</v>
      </c>
      <c r="D3" s="34"/>
      <c r="E3" s="47"/>
      <c r="F3" s="47"/>
      <c r="O3" s="246">
        <f>C5</f>
        <v>75</v>
      </c>
      <c r="P3" s="244" t="s">
        <v>634</v>
      </c>
      <c r="Q3" s="244">
        <f>D5</f>
        <v>65</v>
      </c>
      <c r="R3" s="246"/>
      <c r="S3" s="263" t="s">
        <v>635</v>
      </c>
      <c r="T3" s="272">
        <f>(O3-Q3)/(LN((P4-R4)/(P5-R5)))</f>
        <v>49.83288654563971</v>
      </c>
      <c r="U3" s="266" t="s">
        <v>636</v>
      </c>
      <c r="AG3" t="s">
        <v>632</v>
      </c>
    </row>
    <row r="4" spans="2:59" ht="18.75" thickBot="1" x14ac:dyDescent="0.4">
      <c r="C4" s="48" t="s">
        <v>21</v>
      </c>
      <c r="D4" s="48" t="s">
        <v>22</v>
      </c>
      <c r="E4" s="48" t="s">
        <v>6</v>
      </c>
      <c r="F4" s="48" t="s">
        <v>23</v>
      </c>
      <c r="H4" t="str">
        <f>logic!Y4</f>
        <v>Jednostka ciepła:</v>
      </c>
      <c r="O4" s="267" t="s">
        <v>641</v>
      </c>
      <c r="P4" s="247">
        <f>C5</f>
        <v>75</v>
      </c>
      <c r="Q4" s="247" t="s">
        <v>634</v>
      </c>
      <c r="R4" s="247">
        <f>E5</f>
        <v>20</v>
      </c>
      <c r="S4" s="263"/>
      <c r="T4" s="272"/>
      <c r="U4" s="266"/>
      <c r="W4" t="s">
        <v>642</v>
      </c>
      <c r="AV4" t="s">
        <v>643</v>
      </c>
      <c r="BF4" s="272"/>
      <c r="BG4" s="266"/>
    </row>
    <row r="5" spans="2:59" ht="15.75" thickBot="1" x14ac:dyDescent="0.3">
      <c r="C5" s="84">
        <f>IF(logic!$K$64=1,KORADO!C4,výkony!C6)</f>
        <v>75</v>
      </c>
      <c r="D5" s="84">
        <f>IF(logic!$K$64=1,KORADO!D4,výkony!D6)</f>
        <v>65</v>
      </c>
      <c r="E5" s="84">
        <f>IF(logic!$K$64=1,KORADO!E4,výkony!E6)</f>
        <v>20</v>
      </c>
      <c r="F5" s="85">
        <f>(C5+D5)/2-E5</f>
        <v>50</v>
      </c>
      <c r="H5" s="49" t="str">
        <f>logic!C45</f>
        <v>W</v>
      </c>
      <c r="I5" s="49">
        <f>logic!D45</f>
        <v>1</v>
      </c>
      <c r="O5" s="268"/>
      <c r="P5" s="49">
        <f>D5</f>
        <v>65</v>
      </c>
      <c r="Q5" s="49" t="s">
        <v>634</v>
      </c>
      <c r="R5" s="49">
        <f>E5</f>
        <v>20</v>
      </c>
      <c r="S5" s="263"/>
      <c r="T5" s="272"/>
      <c r="U5" s="266"/>
      <c r="Z5" s="246">
        <v>75</v>
      </c>
      <c r="AA5" s="244" t="s">
        <v>634</v>
      </c>
      <c r="AB5" s="244">
        <v>65</v>
      </c>
      <c r="AC5" s="246"/>
      <c r="AD5" s="263" t="s">
        <v>635</v>
      </c>
      <c r="AE5" s="272">
        <f>(Z5-AB5)/(LN((AA6-AC6)/(AA7-AC7)))</f>
        <v>49.83288654563971</v>
      </c>
      <c r="AF5" s="266"/>
      <c r="AK5" s="244">
        <f>C5</f>
        <v>75</v>
      </c>
      <c r="AL5" s="244" t="s">
        <v>633</v>
      </c>
      <c r="AM5" s="244">
        <f>D5</f>
        <v>65</v>
      </c>
      <c r="AN5" s="263" t="s">
        <v>634</v>
      </c>
      <c r="AO5" s="263">
        <f>E5</f>
        <v>20</v>
      </c>
      <c r="AP5" s="263" t="s">
        <v>635</v>
      </c>
      <c r="AQ5" s="265">
        <f>(AK5+AM5)/AK6-AO5</f>
        <v>50</v>
      </c>
      <c r="AR5" s="266" t="s">
        <v>636</v>
      </c>
      <c r="AX5" s="244">
        <v>75</v>
      </c>
      <c r="AY5" s="244" t="s">
        <v>633</v>
      </c>
      <c r="AZ5" s="244">
        <v>65</v>
      </c>
      <c r="BA5" s="263" t="s">
        <v>634</v>
      </c>
      <c r="BB5" s="263">
        <v>20</v>
      </c>
      <c r="BC5" s="263" t="s">
        <v>635</v>
      </c>
      <c r="BD5" s="265">
        <f>(AX5+AZ5)/AX6-BB5</f>
        <v>50</v>
      </c>
      <c r="BE5" s="266" t="s">
        <v>636</v>
      </c>
      <c r="BF5" s="272"/>
      <c r="BG5" s="266"/>
    </row>
    <row r="6" spans="2:59" ht="15.75" thickBot="1" x14ac:dyDescent="0.3">
      <c r="C6" s="84">
        <f>ROUND((t_1-32)/1.8,2)</f>
        <v>23.89</v>
      </c>
      <c r="D6" s="84">
        <f>ROUND((t_2-32)/1.8,2)</f>
        <v>18.329999999999998</v>
      </c>
      <c r="E6" s="84">
        <f>ROUND((t_i-32)/1.8,2)</f>
        <v>-6.67</v>
      </c>
      <c r="F6" s="85">
        <f>(C6+D6)/2-E6</f>
        <v>27.78</v>
      </c>
      <c r="Z6" s="267" t="s">
        <v>641</v>
      </c>
      <c r="AA6" s="247">
        <v>75</v>
      </c>
      <c r="AB6" s="247" t="s">
        <v>634</v>
      </c>
      <c r="AC6" s="247">
        <v>20</v>
      </c>
      <c r="AD6" s="263"/>
      <c r="AE6" s="272"/>
      <c r="AF6" s="266"/>
      <c r="AK6" s="269">
        <v>2</v>
      </c>
      <c r="AL6" s="269"/>
      <c r="AM6" s="269"/>
      <c r="AN6" s="263"/>
      <c r="AO6" s="263"/>
      <c r="AP6" s="263"/>
      <c r="AQ6" s="265"/>
      <c r="AR6" s="266"/>
      <c r="AX6" s="269">
        <v>2</v>
      </c>
      <c r="AY6" s="269"/>
      <c r="AZ6" s="269"/>
      <c r="BA6" s="263"/>
      <c r="BB6" s="263"/>
      <c r="BC6" s="263"/>
      <c r="BD6" s="265"/>
      <c r="BE6" s="266"/>
      <c r="BF6" s="272"/>
      <c r="BG6" s="266"/>
    </row>
    <row r="7" spans="2:59" x14ac:dyDescent="0.25">
      <c r="L7" s="245"/>
      <c r="M7" s="263">
        <f>C2</f>
        <v>320</v>
      </c>
      <c r="N7" s="263" t="s">
        <v>637</v>
      </c>
      <c r="O7" s="263" t="s">
        <v>638</v>
      </c>
      <c r="P7" s="246">
        <f>T3</f>
        <v>49.83288654563971</v>
      </c>
      <c r="Q7" s="263" t="s">
        <v>639</v>
      </c>
      <c r="R7" s="270">
        <f>E2</f>
        <v>1.2363</v>
      </c>
      <c r="S7" s="263" t="s">
        <v>635</v>
      </c>
      <c r="T7" s="264">
        <f>M7*POWER(P7/P8,R7)</f>
        <v>320</v>
      </c>
      <c r="U7" s="264"/>
      <c r="V7" s="264" t="s">
        <v>199</v>
      </c>
      <c r="Z7" s="268"/>
      <c r="AA7" s="49">
        <v>65</v>
      </c>
      <c r="AB7" s="49" t="s">
        <v>634</v>
      </c>
      <c r="AC7" s="49">
        <v>20</v>
      </c>
      <c r="AD7" s="263"/>
      <c r="AE7" s="272"/>
      <c r="AF7" s="266"/>
      <c r="AJ7" s="263" t="str">
        <f>U3</f>
        <v>K</v>
      </c>
      <c r="AK7" s="263">
        <f>C2</f>
        <v>320</v>
      </c>
      <c r="AL7" s="263" t="s">
        <v>638</v>
      </c>
      <c r="AM7" s="244">
        <f>AQ5</f>
        <v>50</v>
      </c>
      <c r="AN7" s="263" t="s">
        <v>639</v>
      </c>
      <c r="AO7" s="270">
        <f>E2</f>
        <v>1.2363</v>
      </c>
      <c r="AP7" s="263" t="s">
        <v>635</v>
      </c>
      <c r="AQ7" s="271">
        <f>AK7*POWER(AM7/AM8,AO7)</f>
        <v>320</v>
      </c>
      <c r="AR7" s="271"/>
      <c r="AS7" s="264" t="s">
        <v>199</v>
      </c>
    </row>
    <row r="8" spans="2:59" x14ac:dyDescent="0.25">
      <c r="C8" s="241" t="s">
        <v>631</v>
      </c>
      <c r="D8" s="50">
        <f>(D5-E5)/(C5-E5)</f>
        <v>0.81818181818181823</v>
      </c>
      <c r="F8">
        <f>(D5-E5)/(C5-E5)</f>
        <v>0.81818181818181823</v>
      </c>
      <c r="L8" s="245"/>
      <c r="M8" s="263"/>
      <c r="N8" s="263"/>
      <c r="O8" s="263"/>
      <c r="P8">
        <f>AE5</f>
        <v>49.83288654563971</v>
      </c>
      <c r="Q8" s="263"/>
      <c r="R8" s="270"/>
      <c r="S8" s="263"/>
      <c r="T8" s="264"/>
      <c r="U8" s="264"/>
      <c r="V8" s="264"/>
      <c r="AJ8" s="263"/>
      <c r="AK8" s="263"/>
      <c r="AL8" s="263"/>
      <c r="AM8" s="49">
        <v>50</v>
      </c>
      <c r="AN8" s="263"/>
      <c r="AO8" s="270"/>
      <c r="AP8" s="263"/>
      <c r="AQ8" s="271"/>
      <c r="AR8" s="271"/>
      <c r="AS8" s="264"/>
    </row>
    <row r="9" spans="2:59" x14ac:dyDescent="0.25">
      <c r="N9" s="18"/>
    </row>
    <row r="10" spans="2:59" x14ac:dyDescent="0.25">
      <c r="B10" s="242" t="s">
        <v>629</v>
      </c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C10" s="242" t="s">
        <v>630</v>
      </c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</row>
    <row r="11" spans="2:59" ht="15" customHeight="1" x14ac:dyDescent="0.25"/>
    <row r="13" spans="2:59" ht="15.75" thickBot="1" x14ac:dyDescent="0.3">
      <c r="C13" s="55" t="s">
        <v>203</v>
      </c>
      <c r="O13" s="55" t="s">
        <v>204</v>
      </c>
      <c r="AD13" s="55" t="s">
        <v>203</v>
      </c>
      <c r="AP13" s="55" t="s">
        <v>204</v>
      </c>
    </row>
    <row r="14" spans="2:59" ht="15" customHeight="1" thickBot="1" x14ac:dyDescent="0.3">
      <c r="B14" s="34"/>
      <c r="C14" s="35" t="s">
        <v>266</v>
      </c>
      <c r="D14" s="36"/>
      <c r="E14" s="36"/>
      <c r="F14" s="36"/>
      <c r="G14" s="36"/>
      <c r="H14" s="35" t="s">
        <v>268</v>
      </c>
      <c r="I14" s="36"/>
      <c r="J14" s="36"/>
      <c r="K14" s="36"/>
      <c r="L14" s="37"/>
      <c r="M14" s="34"/>
      <c r="O14" s="34"/>
      <c r="P14" s="35" t="s">
        <v>266</v>
      </c>
      <c r="Q14" s="36"/>
      <c r="R14" s="36"/>
      <c r="S14" s="36"/>
      <c r="T14" s="36"/>
      <c r="U14" s="35" t="s">
        <v>268</v>
      </c>
      <c r="V14" s="36"/>
      <c r="W14" s="36"/>
      <c r="X14" s="36"/>
      <c r="Y14" s="37"/>
      <c r="Z14" s="34"/>
      <c r="AC14" s="34"/>
      <c r="AD14" s="35" t="s">
        <v>266</v>
      </c>
      <c r="AE14" s="36"/>
      <c r="AF14" s="36"/>
      <c r="AG14" s="36"/>
      <c r="AH14" s="36"/>
      <c r="AI14" s="35" t="s">
        <v>268</v>
      </c>
      <c r="AJ14" s="36"/>
      <c r="AK14" s="36"/>
      <c r="AL14" s="36"/>
      <c r="AM14" s="37"/>
      <c r="AN14" s="34"/>
      <c r="AP14" s="34"/>
      <c r="AQ14" s="35" t="s">
        <v>266</v>
      </c>
      <c r="AR14" s="36"/>
      <c r="AS14" s="36"/>
      <c r="AT14" s="36"/>
      <c r="AU14" s="36"/>
      <c r="AV14" s="35" t="s">
        <v>268</v>
      </c>
      <c r="AW14" s="36"/>
      <c r="AX14" s="36"/>
      <c r="AY14" s="36"/>
      <c r="AZ14" s="37"/>
      <c r="BA14" s="34"/>
    </row>
    <row r="15" spans="2:59" ht="15" customHeight="1" x14ac:dyDescent="0.25">
      <c r="B15" s="7" t="s">
        <v>9</v>
      </c>
      <c r="C15" s="38" t="s">
        <v>10</v>
      </c>
      <c r="D15" s="39"/>
      <c r="E15" s="39"/>
      <c r="F15" s="39"/>
      <c r="G15" s="40"/>
      <c r="H15" s="38" t="s">
        <v>10</v>
      </c>
      <c r="I15" s="39"/>
      <c r="J15" s="39"/>
      <c r="K15" s="39"/>
      <c r="L15" s="40"/>
      <c r="M15" s="7" t="s">
        <v>9</v>
      </c>
      <c r="O15" s="7" t="s">
        <v>9</v>
      </c>
      <c r="P15" s="38" t="s">
        <v>10</v>
      </c>
      <c r="Q15" s="39"/>
      <c r="R15" s="39"/>
      <c r="S15" s="39"/>
      <c r="T15" s="40"/>
      <c r="U15" s="38" t="s">
        <v>10</v>
      </c>
      <c r="V15" s="39"/>
      <c r="W15" s="39"/>
      <c r="X15" s="39"/>
      <c r="Y15" s="40"/>
      <c r="Z15" s="7" t="s">
        <v>9</v>
      </c>
      <c r="AC15" s="7" t="s">
        <v>9</v>
      </c>
      <c r="AD15" s="38" t="s">
        <v>10</v>
      </c>
      <c r="AE15" s="39"/>
      <c r="AF15" s="39"/>
      <c r="AG15" s="39"/>
      <c r="AH15" s="40"/>
      <c r="AI15" s="38" t="s">
        <v>10</v>
      </c>
      <c r="AJ15" s="39"/>
      <c r="AK15" s="39"/>
      <c r="AL15" s="39"/>
      <c r="AM15" s="40"/>
      <c r="AN15" s="7" t="s">
        <v>9</v>
      </c>
      <c r="AP15" s="7" t="s">
        <v>9</v>
      </c>
      <c r="AQ15" s="38" t="s">
        <v>10</v>
      </c>
      <c r="AR15" s="39"/>
      <c r="AS15" s="39"/>
      <c r="AT15" s="39"/>
      <c r="AU15" s="40"/>
      <c r="AV15" s="38" t="s">
        <v>10</v>
      </c>
      <c r="AW15" s="39"/>
      <c r="AX15" s="39"/>
      <c r="AY15" s="39"/>
      <c r="AZ15" s="40"/>
      <c r="BA15" s="7" t="s">
        <v>9</v>
      </c>
    </row>
    <row r="16" spans="2:59" ht="15" customHeight="1" thickBot="1" x14ac:dyDescent="0.3">
      <c r="B16" s="8" t="s">
        <v>11</v>
      </c>
      <c r="C16" s="15">
        <v>700</v>
      </c>
      <c r="D16" s="16">
        <v>900</v>
      </c>
      <c r="E16" s="16">
        <v>1220</v>
      </c>
      <c r="F16" s="16">
        <v>1500</v>
      </c>
      <c r="G16" s="17">
        <v>1820</v>
      </c>
      <c r="H16" s="15">
        <v>700</v>
      </c>
      <c r="I16" s="16">
        <v>900</v>
      </c>
      <c r="J16" s="16">
        <v>1220</v>
      </c>
      <c r="K16" s="16">
        <v>1500</v>
      </c>
      <c r="L16" s="17">
        <v>1820</v>
      </c>
      <c r="M16" s="8" t="s">
        <v>11</v>
      </c>
      <c r="O16" s="8" t="s">
        <v>11</v>
      </c>
      <c r="P16" s="15">
        <v>700</v>
      </c>
      <c r="Q16" s="16">
        <v>900</v>
      </c>
      <c r="R16" s="16">
        <v>1220</v>
      </c>
      <c r="S16" s="16">
        <v>1500</v>
      </c>
      <c r="T16" s="17">
        <v>1820</v>
      </c>
      <c r="U16" s="15">
        <v>700</v>
      </c>
      <c r="V16" s="16">
        <v>900</v>
      </c>
      <c r="W16" s="16">
        <v>1220</v>
      </c>
      <c r="X16" s="16">
        <v>1500</v>
      </c>
      <c r="Y16" s="17">
        <v>1820</v>
      </c>
      <c r="Z16" s="8" t="s">
        <v>11</v>
      </c>
      <c r="AC16" s="8" t="s">
        <v>11</v>
      </c>
      <c r="AD16" s="15">
        <v>700</v>
      </c>
      <c r="AE16" s="16">
        <v>900</v>
      </c>
      <c r="AF16" s="16">
        <v>1220</v>
      </c>
      <c r="AG16" s="16">
        <v>1500</v>
      </c>
      <c r="AH16" s="17">
        <v>1820</v>
      </c>
      <c r="AI16" s="15">
        <v>700</v>
      </c>
      <c r="AJ16" s="16">
        <v>900</v>
      </c>
      <c r="AK16" s="16">
        <v>1220</v>
      </c>
      <c r="AL16" s="16">
        <v>1500</v>
      </c>
      <c r="AM16" s="17">
        <v>1820</v>
      </c>
      <c r="AN16" s="8" t="s">
        <v>11</v>
      </c>
      <c r="AP16" s="8" t="s">
        <v>11</v>
      </c>
      <c r="AQ16" s="15">
        <v>700</v>
      </c>
      <c r="AR16" s="16">
        <v>900</v>
      </c>
      <c r="AS16" s="16">
        <v>1220</v>
      </c>
      <c r="AT16" s="16">
        <v>1500</v>
      </c>
      <c r="AU16" s="17">
        <v>1820</v>
      </c>
      <c r="AV16" s="15">
        <v>700</v>
      </c>
      <c r="AW16" s="16">
        <v>900</v>
      </c>
      <c r="AX16" s="16">
        <v>1220</v>
      </c>
      <c r="AY16" s="16">
        <v>1500</v>
      </c>
      <c r="AZ16" s="17">
        <v>1820</v>
      </c>
      <c r="BA16" s="8" t="s">
        <v>11</v>
      </c>
    </row>
    <row r="17" spans="2:70" ht="13.5" customHeight="1" x14ac:dyDescent="0.25">
      <c r="B17" s="9">
        <v>450</v>
      </c>
      <c r="C17" s="12">
        <f>ROUND((((($C$5-$D$5)/(LN(($C$5-$E$5)/($D$5-$E$5))))/49.8328865456397)^vstupy!C22)*vstupy!C15*$I$5,0)</f>
        <v>320</v>
      </c>
      <c r="D17" s="13">
        <f>ROUND((((($C$5-$D$5)/(LN(($C$5-$E$5)/($D$5-$E$5))))/49.8328865456397)^vstupy!D$22)*vstupy!D15*$I$5,0)</f>
        <v>411</v>
      </c>
      <c r="E17" s="13">
        <f>ROUND((((($C$5-$D$5)/(LN(($C$5-$E$5)/($D$5-$E$5))))/49.8328865456397)^vstupy!E$22)*vstupy!E15*$I$5,0)</f>
        <v>557</v>
      </c>
      <c r="F17" s="13">
        <f>ROUND((((($C$5-$D$5)/(LN(($C$5-$E$5)/($D$5-$E$5))))/49.8328865456397)^vstupy!F$22)*vstupy!F15*$I$5,0)</f>
        <v>686</v>
      </c>
      <c r="G17" s="14">
        <f>ROUND((((($C$5-$D$5)/(LN(($C$5-$E$5)/($D$5-$E$5))))/49.8328865456397)^vstupy!G$22)*vstupy!G15*$I$5,0)</f>
        <v>833</v>
      </c>
      <c r="H17" s="12">
        <f>ROUND((((($C$5-$D$5)/(LN(($C$5-$E$5)/($D$5-$E$5))))/49.8328865456397)^vstupy!H$22)*vstupy!H15*$I$5,0)</f>
        <v>320</v>
      </c>
      <c r="I17" s="13">
        <f>ROUND((((($C$5-$D$5)/(LN(($C$5-$E$5)/($D$5-$E$5))))/49.8328865456397)^vstupy!I$22)*vstupy!I15*$I$5,0)</f>
        <v>411</v>
      </c>
      <c r="J17" s="13">
        <f>ROUND((((($C$5-$D$5)/(LN(($C$5-$E$5)/($D$5-$E$5))))/49.8328865456397)^vstupy!J$22)*vstupy!J15*$I$5,0)</f>
        <v>557</v>
      </c>
      <c r="K17" s="13">
        <f>ROUND((((($C$5-$D$5)/(LN(($C$5-$E$5)/($D$5-$E$5))))/49.8328865456397)^vstupy!K$22)*vstupy!K15*$I$5,0)</f>
        <v>686</v>
      </c>
      <c r="L17" s="14">
        <f>ROUND((((($C$5-$D$5)/(LN(($C$5-$E$5)/($D$5-$E$5))))/49.8328865456397)^vstupy!L$22)*vstupy!L15*$I$5,0)</f>
        <v>833</v>
      </c>
      <c r="M17" s="9">
        <v>450</v>
      </c>
      <c r="O17" s="9">
        <v>450</v>
      </c>
      <c r="P17" s="12">
        <f>ROUND((((($C$5-$D$5)/(LN(($C$5-$E$5)/($D$5-$E$5))))/49.8328865456397)^vstupy!P$22)*vstupy!P15*$I$5,0)</f>
        <v>341</v>
      </c>
      <c r="Q17" s="13">
        <f>ROUND((((($C$5-$D$5)/(LN(($C$5-$E$5)/($D$5-$E$5))))/49.8328865456397)^vstupy!Q$22)*vstupy!Q15*$I$5,0)</f>
        <v>436</v>
      </c>
      <c r="R17" s="13">
        <f>ROUND((((($C$5-$D$5)/(LN(($C$5-$E$5)/($D$5-$E$5))))/49.8328865456397)^vstupy!R$22)*vstupy!R15*$I$5,0)</f>
        <v>592</v>
      </c>
      <c r="S17" s="13">
        <f>ROUND((((($C$5-$D$5)/(LN(($C$5-$E$5)/($D$5-$E$5))))/49.8328865456397)^vstupy!S$22)*vstupy!S15*$I$5,0)</f>
        <v>735</v>
      </c>
      <c r="T17" s="14">
        <f>ROUND((((($C$5-$D$5)/(LN(($C$5-$E$5)/($D$5-$E$5))))/49.8328865456397)^vstupy!T$22)*vstupy!T15*$I$5,0)</f>
        <v>906</v>
      </c>
      <c r="U17" s="72"/>
      <c r="V17" s="73"/>
      <c r="W17" s="73"/>
      <c r="X17" s="73"/>
      <c r="Y17" s="74"/>
      <c r="Z17" s="9">
        <v>450</v>
      </c>
      <c r="AC17" s="9">
        <v>450</v>
      </c>
      <c r="AD17" s="12">
        <f>ROUND((vstupy!C15*POWER($F$5/50,vstupy!C22))*$I$5,0)</f>
        <v>320</v>
      </c>
      <c r="AE17" s="13">
        <f>ROUND((vstupy!D15*POWER($F$5/50,vstupy!D22))*$I$5,0)</f>
        <v>411</v>
      </c>
      <c r="AF17" s="13">
        <f>ROUND((vstupy!E15*POWER($F$5/50,vstupy!E22))*$I$5,0)</f>
        <v>557</v>
      </c>
      <c r="AG17" s="13">
        <f>ROUND((vstupy!F15*POWER($F$5/50,vstupy!F22))*$I$5,0)</f>
        <v>686</v>
      </c>
      <c r="AH17" s="14">
        <f>ROUND((vstupy!G15*POWER($F$5/50,vstupy!G22))*$I$5,0)</f>
        <v>833</v>
      </c>
      <c r="AI17" s="12">
        <f>ROUND((vstupy!H15*POWER($F$5/50,vstupy!H22))*$I$5,0)</f>
        <v>320</v>
      </c>
      <c r="AJ17" s="13">
        <f>ROUND((vstupy!I15*POWER($F$5/50,vstupy!I22))*$I$5,0)</f>
        <v>411</v>
      </c>
      <c r="AK17" s="13">
        <f>ROUND((vstupy!J15*POWER($F$5/50,vstupy!J22))*$I$5,0)</f>
        <v>557</v>
      </c>
      <c r="AL17" s="13">
        <f>ROUND((vstupy!K15*POWER($F$5/50,vstupy!K22))*$I$5,0)</f>
        <v>686</v>
      </c>
      <c r="AM17" s="14">
        <f>ROUND((vstupy!L15*POWER($F$5/50,vstupy!L22))*$I$5,0)</f>
        <v>833</v>
      </c>
      <c r="AN17" s="9">
        <v>450</v>
      </c>
      <c r="AP17" s="9">
        <v>450</v>
      </c>
      <c r="AQ17" s="12">
        <f>ROUND((vstupy!P15*POWER($F$5/50,vstupy!P22))*$I$5,0)</f>
        <v>341</v>
      </c>
      <c r="AR17" s="13">
        <f>ROUND((vstupy!Q15*POWER($F$5/50,vstupy!Q22))*$I$5,0)</f>
        <v>436</v>
      </c>
      <c r="AS17" s="13">
        <f>ROUND((vstupy!R15*POWER($F$5/50,vstupy!R22))*$I$5,0)</f>
        <v>592</v>
      </c>
      <c r="AT17" s="13">
        <f>ROUND((vstupy!S15*POWER($F$5/50,vstupy!S22))*$I$5,0)</f>
        <v>735</v>
      </c>
      <c r="AU17" s="14">
        <f>ROUND((vstupy!T15*POWER($F$5/50,vstupy!T22))*$I$5,0)</f>
        <v>906</v>
      </c>
      <c r="AV17" s="72"/>
      <c r="AW17" s="73"/>
      <c r="AX17" s="73"/>
      <c r="AY17" s="73"/>
      <c r="AZ17" s="74"/>
      <c r="BA17" s="9">
        <v>450</v>
      </c>
    </row>
    <row r="18" spans="2:70" ht="13.5" customHeight="1" x14ac:dyDescent="0.25">
      <c r="B18" s="10">
        <v>600</v>
      </c>
      <c r="C18" s="2">
        <f>ROUND((((($C$5-$D$5)/(LN(($C$5-$E$5)/($D$5-$E$5))))/49.8328865456397)^vstupy!C23)*vstupy!C16*$I$5,0)</f>
        <v>422</v>
      </c>
      <c r="D18" s="1">
        <f>ROUND((((($C$5-$D$5)/(LN(($C$5-$E$5)/($D$5-$E$5))))/49.8328865456397)^vstupy!D23)*vstupy!D16*$I$5,0)</f>
        <v>543</v>
      </c>
      <c r="E18" s="1">
        <f>ROUND((((($C$5-$D$5)/(LN(($C$5-$E$5)/($D$5-$E$5))))/49.8328865456397)^vstupy!E23)*vstupy!E16*$I$5,0)</f>
        <v>736</v>
      </c>
      <c r="F18" s="1">
        <f>ROUND((((($C$5-$D$5)/(LN(($C$5-$E$5)/($D$5-$E$5))))/49.8328865456397)^vstupy!F23)*vstupy!F16*$I$5,0)</f>
        <v>906</v>
      </c>
      <c r="G18" s="3">
        <f>ROUND((((($C$5-$D$5)/(LN(($C$5-$E$5)/($D$5-$E$5))))/49.8328865456397)^vstupy!G23)*vstupy!G16*$I$5,0)</f>
        <v>1101</v>
      </c>
      <c r="H18" s="2">
        <f>ROUND((((($C$5-$D$5)/(LN(($C$5-$E$5)/($D$5-$E$5))))/49.8328865456397)^vstupy!H23)*vstupy!H16*$I$5,0)</f>
        <v>422</v>
      </c>
      <c r="I18" s="1">
        <f>ROUND((((($C$5-$D$5)/(LN(($C$5-$E$5)/($D$5-$E$5))))/49.8328865456397)^vstupy!I23)*vstupy!I16*$I$5,0)</f>
        <v>543</v>
      </c>
      <c r="J18" s="1">
        <f>ROUND((((($C$5-$D$5)/(LN(($C$5-$E$5)/($D$5-$E$5))))/49.8328865456397)^vstupy!J23)*vstupy!J16*$I$5,0)</f>
        <v>736</v>
      </c>
      <c r="K18" s="1">
        <f>ROUND((((($C$5-$D$5)/(LN(($C$5-$E$5)/($D$5-$E$5))))/49.8328865456397)^vstupy!K23)*vstupy!K16*$I$5,0)</f>
        <v>906</v>
      </c>
      <c r="L18" s="3">
        <f>ROUND((((($C$5-$D$5)/(LN(($C$5-$E$5)/($D$5-$E$5))))/49.8328865456397)^vstupy!L23)*vstupy!L16*$I$5,0)</f>
        <v>1101</v>
      </c>
      <c r="M18" s="10">
        <v>600</v>
      </c>
      <c r="O18" s="10">
        <v>600</v>
      </c>
      <c r="P18" s="2">
        <f>ROUND((((($C$5-$D$5)/(LN(($C$5-$E$5)/($D$5-$E$5))))/49.8328865456397)^vstupy!P23)*vstupy!P16*$I$5,0)</f>
        <v>454</v>
      </c>
      <c r="Q18" s="1">
        <f>ROUND((((($C$5-$D$5)/(LN(($C$5-$E$5)/($D$5-$E$5))))/49.8328865456397)^vstupy!Q23)*vstupy!Q16*$I$5,0)</f>
        <v>580</v>
      </c>
      <c r="R18" s="1">
        <f>ROUND((((($C$5-$D$5)/(LN(($C$5-$E$5)/($D$5-$E$5))))/49.8328865456397)^vstupy!R23)*vstupy!R16*$I$5,0)</f>
        <v>789</v>
      </c>
      <c r="S18" s="1">
        <f>ROUND((((($C$5-$D$5)/(LN(($C$5-$E$5)/($D$5-$E$5))))/49.8328865456397)^vstupy!S23)*vstupy!S16*$I$5,0)</f>
        <v>979</v>
      </c>
      <c r="T18" s="3">
        <f>ROUND((((($C$5-$D$5)/(LN(($C$5-$E$5)/($D$5-$E$5))))/49.8328865456397)^vstupy!T23)*vstupy!T16*$I$5,0)</f>
        <v>1206</v>
      </c>
      <c r="U18" s="75"/>
      <c r="V18" s="76"/>
      <c r="W18" s="76"/>
      <c r="X18" s="76"/>
      <c r="Y18" s="77"/>
      <c r="Z18" s="10">
        <v>600</v>
      </c>
      <c r="AC18" s="10">
        <v>600</v>
      </c>
      <c r="AD18" s="2">
        <f>ROUND((vstupy!C16*POWER($F$5/50,vstupy!C23))*$I$5,0)</f>
        <v>422</v>
      </c>
      <c r="AE18" s="1">
        <f>ROUND((vstupy!D16*POWER($F$5/50,vstupy!D23))*$I$5,0)</f>
        <v>543</v>
      </c>
      <c r="AF18" s="1">
        <f>ROUND((vstupy!E16*POWER($F$5/50,vstupy!E23))*$I$5,0)</f>
        <v>736</v>
      </c>
      <c r="AG18" s="1">
        <f>ROUND((vstupy!F16*POWER($F$5/50,vstupy!F23))*$I$5,0)</f>
        <v>906</v>
      </c>
      <c r="AH18" s="3">
        <f>ROUND((vstupy!G16*POWER($F$5/50,vstupy!G23))*$I$5,0)</f>
        <v>1101</v>
      </c>
      <c r="AI18" s="2">
        <f>ROUND((vstupy!H16*POWER($F$5/50,vstupy!H23))*$I$5,0)</f>
        <v>422</v>
      </c>
      <c r="AJ18" s="1">
        <f>ROUND((vstupy!I16*POWER($F$5/50,vstupy!I23))*$I$5,0)</f>
        <v>543</v>
      </c>
      <c r="AK18" s="1">
        <f>ROUND((vstupy!J16*POWER($F$5/50,vstupy!J23))*$I$5,0)</f>
        <v>736</v>
      </c>
      <c r="AL18" s="1">
        <f>ROUND((vstupy!K16*POWER($F$5/50,vstupy!K23))*$I$5,0)</f>
        <v>906</v>
      </c>
      <c r="AM18" s="3">
        <f>ROUND((vstupy!L16*POWER($F$5/50,vstupy!L23))*$I$5,0)</f>
        <v>1101</v>
      </c>
      <c r="AN18" s="10">
        <v>600</v>
      </c>
      <c r="AP18" s="10">
        <v>600</v>
      </c>
      <c r="AQ18" s="2">
        <f>ROUND((vstupy!P16*POWER($F$5/50,vstupy!P23))*$I$5,0)</f>
        <v>454</v>
      </c>
      <c r="AR18" s="1">
        <f>ROUND((vstupy!Q16*POWER($F$5/50,vstupy!Q23))*$I$5,0)</f>
        <v>580</v>
      </c>
      <c r="AS18" s="1">
        <f>ROUND((vstupy!R16*POWER($F$5/50,vstupy!R23))*$I$5,0)</f>
        <v>789</v>
      </c>
      <c r="AT18" s="1">
        <f>ROUND((vstupy!S16*POWER($F$5/50,vstupy!S23))*$I$5,0)</f>
        <v>979</v>
      </c>
      <c r="AU18" s="3">
        <f>ROUND((vstupy!T16*POWER($F$5/50,vstupy!T23))*$I$5,0)</f>
        <v>1206</v>
      </c>
      <c r="AV18" s="75"/>
      <c r="AW18" s="76"/>
      <c r="AX18" s="76"/>
      <c r="AY18" s="76"/>
      <c r="AZ18" s="77"/>
      <c r="BA18" s="10">
        <v>600</v>
      </c>
    </row>
    <row r="19" spans="2:70" ht="13.5" customHeight="1" thickBot="1" x14ac:dyDescent="0.3">
      <c r="B19" s="11">
        <v>750</v>
      </c>
      <c r="C19" s="4">
        <f>ROUND((((($C$5-$D$5)/(LN(($C$5-$E$5)/($D$5-$E$5))))/49.8328865456397)^vstupy!C24)*vstupy!C17*$I$5,0)</f>
        <v>524</v>
      </c>
      <c r="D19" s="5">
        <f>ROUND((((($C$5-$D$5)/(LN(($C$5-$E$5)/($D$5-$E$5))))/49.8328865456397)^vstupy!D24)*vstupy!D17*$I$5,0)</f>
        <v>673</v>
      </c>
      <c r="E19" s="5">
        <f>ROUND((((($C$5-$D$5)/(LN(($C$5-$E$5)/($D$5-$E$5))))/49.8328865456397)^vstupy!E24)*vstupy!E17*$I$5,0)</f>
        <v>913</v>
      </c>
      <c r="F19" s="5">
        <f>ROUND((((($C$5-$D$5)/(LN(($C$5-$E$5)/($D$5-$E$5))))/49.8328865456397)^vstupy!F24)*vstupy!F17*$I$5,0)</f>
        <v>1124</v>
      </c>
      <c r="G19" s="6">
        <f>ROUND((((($C$5-$D$5)/(LN(($C$5-$E$5)/($D$5-$E$5))))/49.8328865456397)^vstupy!G24)*vstupy!G17*$I$5,0)</f>
        <v>1367</v>
      </c>
      <c r="H19" s="4">
        <f>ROUND((((($C$5-$D$5)/(LN(($C$5-$E$5)/($D$5-$E$5))))/49.8328865456397)^vstupy!H24)*vstupy!H17*$I$5,0)</f>
        <v>524</v>
      </c>
      <c r="I19" s="5">
        <f>ROUND((((($C$5-$D$5)/(LN(($C$5-$E$5)/($D$5-$E$5))))/49.8328865456397)^vstupy!I24)*vstupy!I17*$I$5,0)</f>
        <v>673</v>
      </c>
      <c r="J19" s="5">
        <f>ROUND((((($C$5-$D$5)/(LN(($C$5-$E$5)/($D$5-$E$5))))/49.8328865456397)^vstupy!J24)*vstupy!J17*$I$5,0)</f>
        <v>913</v>
      </c>
      <c r="K19" s="5">
        <f>ROUND((((($C$5-$D$5)/(LN(($C$5-$E$5)/($D$5-$E$5))))/49.8328865456397)^vstupy!K24)*vstupy!K17*$I$5,0)</f>
        <v>1124</v>
      </c>
      <c r="L19" s="6">
        <f>ROUND((((($C$5-$D$5)/(LN(($C$5-$E$5)/($D$5-$E$5))))/49.8328865456397)^vstupy!L24)*vstupy!L17*$I$5,0)</f>
        <v>1367</v>
      </c>
      <c r="M19" s="11">
        <v>750</v>
      </c>
      <c r="O19" s="11">
        <v>750</v>
      </c>
      <c r="P19" s="4">
        <f>ROUND((((($C$5-$D$5)/(LN(($C$5-$E$5)/($D$5-$E$5))))/49.8328865456397)^vstupy!P24)*vstupy!P17*$I$5,0)</f>
        <v>567</v>
      </c>
      <c r="Q19" s="5">
        <f>ROUND((((($C$5-$D$5)/(LN(($C$5-$E$5)/($D$5-$E$5))))/49.8328865456397)^vstupy!Q24)*vstupy!Q17*$I$5,0)</f>
        <v>725</v>
      </c>
      <c r="R19" s="5">
        <f>ROUND((((($C$5-$D$5)/(LN(($C$5-$E$5)/($D$5-$E$5))))/49.8328865456397)^vstupy!R24)*vstupy!R17*$I$5,0)</f>
        <v>985</v>
      </c>
      <c r="S19" s="5">
        <f>ROUND((((($C$5-$D$5)/(LN(($C$5-$E$5)/($D$5-$E$5))))/49.8328865456397)^vstupy!S24)*vstupy!S17*$I$5,0)</f>
        <v>1222</v>
      </c>
      <c r="T19" s="6">
        <f>ROUND((((($C$5-$D$5)/(LN(($C$5-$E$5)/($D$5-$E$5))))/49.8328865456397)^vstupy!T24)*vstupy!T17*$I$5,0)</f>
        <v>1507</v>
      </c>
      <c r="U19" s="78"/>
      <c r="V19" s="79"/>
      <c r="W19" s="79"/>
      <c r="X19" s="79"/>
      <c r="Y19" s="80"/>
      <c r="Z19" s="11">
        <v>750</v>
      </c>
      <c r="AC19" s="11">
        <v>750</v>
      </c>
      <c r="AD19" s="4">
        <f>ROUND((vstupy!C17*POWER($F$5/50,vstupy!C24))*$I$5,0)</f>
        <v>524</v>
      </c>
      <c r="AE19" s="5">
        <f>ROUND((vstupy!D17*POWER($F$5/50,vstupy!D24))*$I$5,0)</f>
        <v>673</v>
      </c>
      <c r="AF19" s="5">
        <f>ROUND((vstupy!E17*POWER($F$5/50,vstupy!E24))*$I$5,0)</f>
        <v>913</v>
      </c>
      <c r="AG19" s="5">
        <f>ROUND((vstupy!F17*POWER($F$5/50,vstupy!F24))*$I$5,0)</f>
        <v>1124</v>
      </c>
      <c r="AH19" s="6">
        <f>ROUND((vstupy!G17*POWER($F$5/50,vstupy!G24))*$I$5,0)</f>
        <v>1367</v>
      </c>
      <c r="AI19" s="4">
        <f>ROUND((vstupy!H17*POWER($F$5/50,vstupy!H24))*$I$5,0)</f>
        <v>524</v>
      </c>
      <c r="AJ19" s="5">
        <f>ROUND((vstupy!I17*POWER($F$5/50,vstupy!I24))*$I$5,0)</f>
        <v>673</v>
      </c>
      <c r="AK19" s="5">
        <f>ROUND((vstupy!J17*POWER($F$5/50,vstupy!J24))*$I$5,0)</f>
        <v>913</v>
      </c>
      <c r="AL19" s="5">
        <f>ROUND((vstupy!K17*POWER($F$5/50,vstupy!K24))*$I$5,0)</f>
        <v>1124</v>
      </c>
      <c r="AM19" s="6">
        <f>ROUND((vstupy!L17*POWER($F$5/50,vstupy!L24))*$I$5,0)</f>
        <v>1367</v>
      </c>
      <c r="AN19" s="11">
        <v>750</v>
      </c>
      <c r="AP19" s="11">
        <v>750</v>
      </c>
      <c r="AQ19" s="4">
        <f>ROUND((vstupy!P17*POWER($F$5/50,vstupy!P24))*$I$5,0)</f>
        <v>567</v>
      </c>
      <c r="AR19" s="5">
        <f>ROUND((vstupy!Q17*POWER($F$5/50,vstupy!Q24))*$I$5,0)</f>
        <v>725</v>
      </c>
      <c r="AS19" s="5">
        <f>ROUND((vstupy!R17*POWER($F$5/50,vstupy!R24))*$I$5,0)</f>
        <v>985</v>
      </c>
      <c r="AT19" s="5">
        <f>ROUND((vstupy!S17*POWER($F$5/50,vstupy!S24))*$I$5,0)</f>
        <v>1222</v>
      </c>
      <c r="AU19" s="6">
        <f>ROUND((vstupy!T17*POWER($F$5/50,vstupy!T24))*$I$5,0)</f>
        <v>1507</v>
      </c>
      <c r="AV19" s="78"/>
      <c r="AW19" s="79"/>
      <c r="AX19" s="79"/>
      <c r="AY19" s="79"/>
      <c r="AZ19" s="80"/>
      <c r="BA19" s="11">
        <v>750</v>
      </c>
    </row>
    <row r="20" spans="2:70" ht="15.75" thickBot="1" x14ac:dyDescent="0.3"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</row>
    <row r="21" spans="2:70" ht="15" customHeight="1" thickBot="1" x14ac:dyDescent="0.3">
      <c r="B21" s="34"/>
      <c r="C21" s="35" t="s">
        <v>16</v>
      </c>
      <c r="D21" s="36"/>
      <c r="E21" s="36"/>
      <c r="F21" s="36"/>
      <c r="G21" s="36"/>
      <c r="H21" s="35" t="s">
        <v>17</v>
      </c>
      <c r="I21" s="36"/>
      <c r="J21" s="36"/>
      <c r="K21" s="36"/>
      <c r="L21" s="37"/>
      <c r="M21" s="34"/>
      <c r="O21" s="34"/>
      <c r="P21" s="35" t="s">
        <v>16</v>
      </c>
      <c r="Q21" s="36"/>
      <c r="R21" s="36"/>
      <c r="S21" s="36"/>
      <c r="T21" s="36"/>
      <c r="U21" s="35" t="s">
        <v>17</v>
      </c>
      <c r="V21" s="36"/>
      <c r="W21" s="36"/>
      <c r="X21" s="36"/>
      <c r="Y21" s="37"/>
      <c r="Z21" s="34"/>
      <c r="AC21" s="34"/>
      <c r="AD21" s="35" t="s">
        <v>16</v>
      </c>
      <c r="AE21" s="36"/>
      <c r="AF21" s="36"/>
      <c r="AG21" s="36"/>
      <c r="AH21" s="36"/>
      <c r="AI21" s="35" t="s">
        <v>17</v>
      </c>
      <c r="AJ21" s="36"/>
      <c r="AK21" s="36"/>
      <c r="AL21" s="36"/>
      <c r="AM21" s="37"/>
      <c r="AN21" s="34"/>
      <c r="AP21" s="34"/>
      <c r="AQ21" s="35" t="s">
        <v>16</v>
      </c>
      <c r="AR21" s="36"/>
      <c r="AS21" s="36"/>
      <c r="AT21" s="36"/>
      <c r="AU21" s="36"/>
      <c r="AV21" s="35" t="s">
        <v>17</v>
      </c>
      <c r="AW21" s="36"/>
      <c r="AX21" s="36"/>
      <c r="AY21" s="36"/>
      <c r="AZ21" s="37"/>
      <c r="BA21" s="34"/>
    </row>
    <row r="22" spans="2:70" ht="15" customHeight="1" x14ac:dyDescent="0.25">
      <c r="B22" s="7" t="s">
        <v>9</v>
      </c>
      <c r="C22" s="38" t="s">
        <v>10</v>
      </c>
      <c r="D22" s="39"/>
      <c r="E22" s="39"/>
      <c r="F22" s="39"/>
      <c r="G22" s="40"/>
      <c r="H22" s="38" t="s">
        <v>10</v>
      </c>
      <c r="I22" s="39"/>
      <c r="J22" s="39"/>
      <c r="K22" s="39"/>
      <c r="L22" s="40"/>
      <c r="M22" s="7" t="s">
        <v>9</v>
      </c>
      <c r="O22" s="7" t="s">
        <v>9</v>
      </c>
      <c r="P22" s="38" t="s">
        <v>10</v>
      </c>
      <c r="Q22" s="39"/>
      <c r="R22" s="39"/>
      <c r="S22" s="39"/>
      <c r="T22" s="40"/>
      <c r="U22" s="38" t="s">
        <v>10</v>
      </c>
      <c r="V22" s="39"/>
      <c r="W22" s="39"/>
      <c r="X22" s="39"/>
      <c r="Y22" s="40"/>
      <c r="Z22" s="7" t="s">
        <v>9</v>
      </c>
      <c r="AC22" s="7" t="s">
        <v>9</v>
      </c>
      <c r="AD22" s="38" t="s">
        <v>10</v>
      </c>
      <c r="AE22" s="39"/>
      <c r="AF22" s="39"/>
      <c r="AG22" s="39"/>
      <c r="AH22" s="40"/>
      <c r="AI22" s="38" t="s">
        <v>10</v>
      </c>
      <c r="AJ22" s="39"/>
      <c r="AK22" s="39"/>
      <c r="AL22" s="39"/>
      <c r="AM22" s="40"/>
      <c r="AN22" s="7" t="s">
        <v>9</v>
      </c>
      <c r="AP22" s="7" t="s">
        <v>9</v>
      </c>
      <c r="AQ22" s="38" t="s">
        <v>10</v>
      </c>
      <c r="AR22" s="39"/>
      <c r="AS22" s="39"/>
      <c r="AT22" s="39"/>
      <c r="AU22" s="40"/>
      <c r="AV22" s="38" t="s">
        <v>10</v>
      </c>
      <c r="AW22" s="39"/>
      <c r="AX22" s="39"/>
      <c r="AY22" s="39"/>
      <c r="AZ22" s="40"/>
      <c r="BA22" s="7" t="s">
        <v>9</v>
      </c>
    </row>
    <row r="23" spans="2:70" ht="15" customHeight="1" thickBot="1" x14ac:dyDescent="0.3">
      <c r="B23" s="8" t="s">
        <v>11</v>
      </c>
      <c r="C23" s="15">
        <v>700</v>
      </c>
      <c r="D23" s="16">
        <v>900</v>
      </c>
      <c r="E23" s="16">
        <v>1220</v>
      </c>
      <c r="F23" s="16">
        <v>1500</v>
      </c>
      <c r="G23" s="17">
        <v>1820</v>
      </c>
      <c r="H23" s="15">
        <v>700</v>
      </c>
      <c r="I23" s="16">
        <v>900</v>
      </c>
      <c r="J23" s="16">
        <v>1220</v>
      </c>
      <c r="K23" s="16">
        <v>1500</v>
      </c>
      <c r="L23" s="17">
        <v>1820</v>
      </c>
      <c r="M23" s="8" t="s">
        <v>11</v>
      </c>
      <c r="O23" s="8" t="s">
        <v>11</v>
      </c>
      <c r="P23" s="15">
        <v>700</v>
      </c>
      <c r="Q23" s="16">
        <v>900</v>
      </c>
      <c r="R23" s="16">
        <v>1220</v>
      </c>
      <c r="S23" s="16">
        <v>1500</v>
      </c>
      <c r="T23" s="17">
        <v>1820</v>
      </c>
      <c r="U23" s="15">
        <v>700</v>
      </c>
      <c r="V23" s="16">
        <v>900</v>
      </c>
      <c r="W23" s="16">
        <v>1220</v>
      </c>
      <c r="X23" s="16">
        <v>1500</v>
      </c>
      <c r="Y23" s="17">
        <v>1820</v>
      </c>
      <c r="Z23" s="8" t="s">
        <v>11</v>
      </c>
      <c r="AC23" s="8" t="s">
        <v>11</v>
      </c>
      <c r="AD23" s="15">
        <v>700</v>
      </c>
      <c r="AE23" s="16">
        <v>900</v>
      </c>
      <c r="AF23" s="16">
        <v>1220</v>
      </c>
      <c r="AG23" s="16">
        <v>1500</v>
      </c>
      <c r="AH23" s="17">
        <v>1820</v>
      </c>
      <c r="AI23" s="15">
        <v>700</v>
      </c>
      <c r="AJ23" s="16">
        <v>900</v>
      </c>
      <c r="AK23" s="16">
        <v>1220</v>
      </c>
      <c r="AL23" s="16">
        <v>1500</v>
      </c>
      <c r="AM23" s="17">
        <v>1820</v>
      </c>
      <c r="AN23" s="8" t="s">
        <v>11</v>
      </c>
      <c r="AP23" s="8" t="s">
        <v>11</v>
      </c>
      <c r="AQ23" s="15">
        <v>700</v>
      </c>
      <c r="AR23" s="16">
        <v>900</v>
      </c>
      <c r="AS23" s="16">
        <v>1220</v>
      </c>
      <c r="AT23" s="16">
        <v>1500</v>
      </c>
      <c r="AU23" s="17">
        <v>1820</v>
      </c>
      <c r="AV23" s="15">
        <v>700</v>
      </c>
      <c r="AW23" s="16">
        <v>900</v>
      </c>
      <c r="AX23" s="16">
        <v>1220</v>
      </c>
      <c r="AY23" s="16">
        <v>1500</v>
      </c>
      <c r="AZ23" s="17">
        <v>1820</v>
      </c>
      <c r="BA23" s="8" t="s">
        <v>11</v>
      </c>
      <c r="BJ23" s="49"/>
      <c r="BK23" s="49"/>
      <c r="BL23" s="49"/>
      <c r="BM23" s="263"/>
      <c r="BN23" s="263"/>
      <c r="BO23" s="263"/>
      <c r="BP23" s="265"/>
      <c r="BQ23" s="266"/>
    </row>
    <row r="24" spans="2:70" ht="13.5" customHeight="1" x14ac:dyDescent="0.25">
      <c r="B24" s="9">
        <v>450</v>
      </c>
      <c r="C24" s="12">
        <f>ROUND((((($C$5-$D$5)/(LN(($C$5-$E$5)/($D$5-$E$5))))/49.8328865456397)^vstupy!C37)*vstupy!C29*$I$5,0)</f>
        <v>287</v>
      </c>
      <c r="D24" s="13">
        <f>ROUND((((($C$5-$D$5)/(LN(($C$5-$E$5)/($D$5-$E$5))))/49.8328865456397)^vstupy!D37)*vstupy!D29*$I$5,0)</f>
        <v>369</v>
      </c>
      <c r="E24" s="13">
        <f>ROUND((((($C$5-$D$5)/(LN(($C$5-$E$5)/($D$5-$E$5))))/49.8328865456397)^vstupy!E37)*vstupy!E29*$I$5,0)</f>
        <v>504</v>
      </c>
      <c r="F24" s="13">
        <f>ROUND((((($C$5-$D$5)/(LN(($C$5-$E$5)/($D$5-$E$5))))/49.8328865456397)^vstupy!F37)*vstupy!F29*$I$5,0)</f>
        <v>626</v>
      </c>
      <c r="G24" s="14">
        <f>ROUND((((($C$5-$D$5)/(LN(($C$5-$E$5)/($D$5-$E$5))))/49.8328865456397)^vstupy!G37)*vstupy!G29*$I$5,0)</f>
        <v>772</v>
      </c>
      <c r="H24" s="12">
        <f>ROUND((((($C$5-$D$5)/(LN(($C$5-$E$5)/($D$5-$E$5))))/49.8328865456397)^vstupy!H37)*vstupy!H29*$I$5,0)</f>
        <v>287</v>
      </c>
      <c r="I24" s="13">
        <f>ROUND((((($C$5-$D$5)/(LN(($C$5-$E$5)/($D$5-$E$5))))/49.8328865456397)^vstupy!I37)*vstupy!I29*$I$5,0)</f>
        <v>369</v>
      </c>
      <c r="J24" s="13">
        <f>ROUND((((($C$5-$D$5)/(LN(($C$5-$E$5)/($D$5-$E$5))))/49.8328865456397)^vstupy!J37)*vstupy!J29*$I$5,0)</f>
        <v>504</v>
      </c>
      <c r="K24" s="13">
        <f>ROUND((((($C$5-$D$5)/(LN(($C$5-$E$5)/($D$5-$E$5))))/49.8328865456397)^vstupy!K37)*vstupy!K29*$I$5,0)</f>
        <v>626</v>
      </c>
      <c r="L24" s="13">
        <f>ROUND((((($C$5-$D$5)/(LN(($C$5-$E$5)/($D$5-$E$5))))/49.8328865456397)^vstupy!L37)*vstupy!L29*$I$5,0)</f>
        <v>772</v>
      </c>
      <c r="M24" s="9">
        <v>450</v>
      </c>
      <c r="O24" s="9">
        <v>450</v>
      </c>
      <c r="P24" s="12">
        <f>ROUND((((($C$5-$D$5)/(LN(($C$5-$E$5)/($D$5-$E$5))))/49.8328865456397)^vstupy!P37)*vstupy!P29*$I$5,0)</f>
        <v>312</v>
      </c>
      <c r="Q24" s="13">
        <f>ROUND((((($C$5-$D$5)/(LN(($C$5-$E$5)/($D$5-$E$5))))/49.8328865456397)^vstupy!Q37)*vstupy!Q29*$I$5,0)</f>
        <v>402</v>
      </c>
      <c r="R24" s="13">
        <f>ROUND((((($C$5-$D$5)/(LN(($C$5-$E$5)/($D$5-$E$5))))/49.8328865456397)^vstupy!R37)*vstupy!R29*$I$5,0)</f>
        <v>549</v>
      </c>
      <c r="S24" s="13">
        <f>ROUND((((($C$5-$D$5)/(LN(($C$5-$E$5)/($D$5-$E$5))))/49.8328865456397)^vstupy!S37)*vstupy!S29*$I$5,0)</f>
        <v>682</v>
      </c>
      <c r="T24" s="13">
        <f>ROUND((((($C$5-$D$5)/(LN(($C$5-$E$5)/($D$5-$E$5))))/49.8328865456397)^vstupy!T37)*vstupy!T29*$I$5,0)</f>
        <v>841</v>
      </c>
      <c r="U24" s="72"/>
      <c r="V24" s="73"/>
      <c r="W24" s="73"/>
      <c r="X24" s="73"/>
      <c r="Y24" s="74"/>
      <c r="Z24" s="9">
        <v>450</v>
      </c>
      <c r="AC24" s="9">
        <v>450</v>
      </c>
      <c r="AD24" s="12">
        <f>ROUND((vstupy!C29*POWER($F$5/50,vstupy!C37))*$I$5,0)</f>
        <v>287</v>
      </c>
      <c r="AE24" s="13">
        <f>ROUND((vstupy!D29*POWER($F$5/50,vstupy!D37))*$I$5,0)</f>
        <v>369</v>
      </c>
      <c r="AF24" s="13">
        <f>ROUND((vstupy!E29*POWER($F$5/50,vstupy!E37))*$I$5,0)</f>
        <v>504</v>
      </c>
      <c r="AG24" s="13">
        <f>ROUND((vstupy!F29*POWER($F$5/50,vstupy!F37))*$I$5,0)</f>
        <v>626</v>
      </c>
      <c r="AH24" s="14">
        <f>ROUND((vstupy!G29*POWER($F$5/50,vstupy!G37))*$I$5,0)</f>
        <v>772</v>
      </c>
      <c r="AI24" s="12">
        <f>ROUND((vstupy!H29*POWER($F$5/50,vstupy!H37))*$I$5,0)</f>
        <v>287</v>
      </c>
      <c r="AJ24" s="13">
        <f>ROUND((vstupy!I29*POWER($F$5/50,vstupy!I37))*$I$5,0)</f>
        <v>369</v>
      </c>
      <c r="AK24" s="13">
        <f>ROUND((vstupy!J29*POWER($F$5/50,vstupy!J37))*$I$5,0)</f>
        <v>504</v>
      </c>
      <c r="AL24" s="13">
        <f>ROUND((vstupy!K29*POWER($F$5/50,vstupy!K37))*$I$5,0)</f>
        <v>626</v>
      </c>
      <c r="AM24" s="14">
        <f>ROUND((vstupy!L29*POWER($F$5/50,vstupy!L37))*$I$5,0)</f>
        <v>772</v>
      </c>
      <c r="AN24" s="9">
        <v>450</v>
      </c>
      <c r="AP24" s="9">
        <v>450</v>
      </c>
      <c r="AQ24" s="12">
        <f>ROUND((vstupy!P29*POWER($F$5/50,vstupy!P37))*$I$5,0)</f>
        <v>312</v>
      </c>
      <c r="AR24" s="13">
        <f>ROUND((vstupy!Q29*POWER($F$5/50,vstupy!Q37))*$I$5,0)</f>
        <v>402</v>
      </c>
      <c r="AS24" s="13">
        <f>ROUND((vstupy!R29*POWER($F$5/50,vstupy!R37))*$I$5,0)</f>
        <v>549</v>
      </c>
      <c r="AT24" s="13">
        <f>ROUND((vstupy!S29*POWER($F$5/50,vstupy!S37))*$I$5,0)</f>
        <v>682</v>
      </c>
      <c r="AU24" s="13">
        <f>ROUND((vstupy!T29*POWER($F$5/50,vstupy!T37))*$I$5,0)</f>
        <v>841</v>
      </c>
      <c r="AV24" s="72"/>
      <c r="AW24" s="73"/>
      <c r="AX24" s="73"/>
      <c r="AY24" s="73"/>
      <c r="AZ24" s="74"/>
      <c r="BA24" s="9">
        <v>450</v>
      </c>
      <c r="BJ24" s="269"/>
      <c r="BK24" s="269"/>
      <c r="BL24" s="269"/>
      <c r="BM24" s="263"/>
      <c r="BN24" s="263"/>
      <c r="BO24" s="263"/>
      <c r="BP24" s="265"/>
      <c r="BQ24" s="266"/>
    </row>
    <row r="25" spans="2:70" ht="13.5" customHeight="1" x14ac:dyDescent="0.25">
      <c r="B25" s="168">
        <v>500</v>
      </c>
      <c r="C25" s="12">
        <f>ROUND((((($C$5-$D$5)/(LN(($C$5-$E$5)/($D$5-$E$5))))/49.8328865456397)^vstupy!C38)*vstupy!C30*$I$5,0)</f>
        <v>315</v>
      </c>
      <c r="D25" s="13">
        <f>ROUND((((($C$5-$D$5)/(LN(($C$5-$E$5)/($D$5-$E$5))))/49.8328865456397)^vstupy!D38)*vstupy!D30*$I$5,0)</f>
        <v>405</v>
      </c>
      <c r="E25" s="13">
        <f>ROUND((((($C$5-$D$5)/(LN(($C$5-$E$5)/($D$5-$E$5))))/49.8328865456397)^vstupy!E38)*vstupy!E30*$I$5,0)</f>
        <v>553</v>
      </c>
      <c r="F25" s="13">
        <f>ROUND((((($C$5-$D$5)/(LN(($C$5-$E$5)/($D$5-$E$5))))/49.8328865456397)^vstupy!F38)*vstupy!F30*$I$5,0)</f>
        <v>687</v>
      </c>
      <c r="G25" s="14">
        <f>ROUND((((($C$5-$D$5)/(LN(($C$5-$E$5)/($D$5-$E$5))))/49.8328865456397)^vstupy!G38)*vstupy!G30*$I$5,0)</f>
        <v>848</v>
      </c>
      <c r="H25" s="12">
        <f>ROUND((((($C$5-$D$5)/(LN(($C$5-$E$5)/($D$5-$E$5))))/49.8328865456397)^vstupy!H38)*vstupy!H30*$I$5,0)</f>
        <v>315</v>
      </c>
      <c r="I25" s="13">
        <f>ROUND((((($C$5-$D$5)/(LN(($C$5-$E$5)/($D$5-$E$5))))/49.8328865456397)^vstupy!I38)*vstupy!I30*$I$5,0)</f>
        <v>405</v>
      </c>
      <c r="J25" s="13">
        <f>ROUND((((($C$5-$D$5)/(LN(($C$5-$E$5)/($D$5-$E$5))))/49.8328865456397)^vstupy!J38)*vstupy!J30*$I$5,0)</f>
        <v>553</v>
      </c>
      <c r="K25" s="13">
        <f>ROUND((((($C$5-$D$5)/(LN(($C$5-$E$5)/($D$5-$E$5))))/49.8328865456397)^vstupy!K38)*vstupy!K30*$I$5,0)</f>
        <v>687</v>
      </c>
      <c r="L25" s="208">
        <f>ROUND((((($C$5-$D$5)/(LN(($C$5-$E$5)/($D$5-$E$5))))/49.8328865456397)^vstupy!L38)*vstupy!L30*$I$5,0)</f>
        <v>848</v>
      </c>
      <c r="M25" s="168">
        <v>500</v>
      </c>
      <c r="O25" s="168">
        <v>500</v>
      </c>
      <c r="P25" s="12">
        <f>ROUND((((($C$5-$D$5)/(LN(($C$5-$E$5)/($D$5-$E$5))))/49.8328865456397)^vstupy!P38)*vstupy!P30*$I$5,0)</f>
        <v>342</v>
      </c>
      <c r="Q25" s="13">
        <f>ROUND((((($C$5-$D$5)/(LN(($C$5-$E$5)/($D$5-$E$5))))/49.8328865456397)^vstupy!Q38)*vstupy!Q30*$I$5,0)</f>
        <v>440</v>
      </c>
      <c r="R25" s="13">
        <f>ROUND((((($C$5-$D$5)/(LN(($C$5-$E$5)/($D$5-$E$5))))/49.8328865456397)^vstupy!R38)*vstupy!R30*$I$5,0)</f>
        <v>601</v>
      </c>
      <c r="S25" s="13">
        <f>ROUND((((($C$5-$D$5)/(LN(($C$5-$E$5)/($D$5-$E$5))))/49.8328865456397)^vstupy!S38)*vstupy!S30*$I$5,0)</f>
        <v>747</v>
      </c>
      <c r="T25" s="208">
        <f>ROUND((((($C$5-$D$5)/(LN(($C$5-$E$5)/($D$5-$E$5))))/49.8328865456397)^vstupy!T38)*vstupy!T30*$I$5,0)</f>
        <v>921</v>
      </c>
      <c r="U25" s="169"/>
      <c r="V25" s="170"/>
      <c r="W25" s="170"/>
      <c r="X25" s="170"/>
      <c r="Y25" s="171"/>
      <c r="Z25" s="168"/>
      <c r="AC25" s="168">
        <v>500</v>
      </c>
      <c r="AD25" s="2">
        <f>ROUND((vstupy!C30*POWER($F$5/50,vstupy!C38))*$I$5,0)</f>
        <v>315</v>
      </c>
      <c r="AE25" s="1">
        <f>ROUND((vstupy!D30*POWER($F$5/50,vstupy!D38))*$I$5,0)</f>
        <v>405</v>
      </c>
      <c r="AF25" s="1">
        <f>ROUND((vstupy!E30*POWER($F$5/50,vstupy!E38))*$I$5,0)</f>
        <v>553</v>
      </c>
      <c r="AG25" s="1">
        <f>ROUND((vstupy!F30*POWER($F$5/50,vstupy!F38))*$I$5,0)</f>
        <v>687</v>
      </c>
      <c r="AH25" s="3">
        <f>ROUND((vstupy!G30*POWER($F$5/50,vstupy!G38))*$I$5,0)</f>
        <v>848</v>
      </c>
      <c r="AI25" s="2">
        <f>ROUND((vstupy!H30*POWER($F$5/50,vstupy!H38))*$I$5,0)</f>
        <v>315</v>
      </c>
      <c r="AJ25" s="1">
        <f>ROUND((vstupy!I30*POWER($F$5/50,vstupy!I38))*$I$5,0)</f>
        <v>405</v>
      </c>
      <c r="AK25" s="1">
        <f>ROUND((vstupy!J30*POWER($F$5/50,vstupy!J38))*$I$5,0)</f>
        <v>553</v>
      </c>
      <c r="AL25" s="1">
        <f>ROUND((vstupy!K30*POWER($F$5/50,vstupy!K38))*$I$5,0)</f>
        <v>687</v>
      </c>
      <c r="AM25" s="3">
        <f>ROUND((vstupy!L30*POWER($F$5/50,vstupy!L38))*$I$5,0)</f>
        <v>848</v>
      </c>
      <c r="AN25" s="168">
        <v>500</v>
      </c>
      <c r="AP25" s="168">
        <v>500</v>
      </c>
      <c r="AQ25" s="12">
        <f>ROUND((vstupy!P30*POWER($F$5/50,vstupy!P38))*$I$5,0)</f>
        <v>342</v>
      </c>
      <c r="AR25" s="13">
        <f>ROUND((vstupy!Q30*POWER($F$5/50,vstupy!Q38))*$I$5,0)</f>
        <v>440</v>
      </c>
      <c r="AS25" s="13">
        <f>ROUND((vstupy!R30*POWER($F$5/50,vstupy!R38))*$I$5,0)</f>
        <v>601</v>
      </c>
      <c r="AT25" s="13">
        <f>ROUND((vstupy!S30*POWER($F$5/50,vstupy!S38))*$I$5,0)</f>
        <v>747</v>
      </c>
      <c r="AU25" s="208">
        <f>ROUND((vstupy!T30*POWER($F$5/50,vstupy!T38))*$I$5,0)</f>
        <v>921</v>
      </c>
      <c r="AV25" s="169"/>
      <c r="AW25" s="170"/>
      <c r="AX25" s="170"/>
      <c r="AY25" s="170"/>
      <c r="AZ25" s="171"/>
      <c r="BA25" s="168">
        <v>500</v>
      </c>
      <c r="BI25" s="263"/>
      <c r="BJ25" s="263"/>
      <c r="BK25" s="263"/>
      <c r="BL25" s="49"/>
      <c r="BM25" s="263"/>
      <c r="BN25" s="270"/>
      <c r="BO25" s="263"/>
      <c r="BP25" s="271"/>
      <c r="BQ25" s="271"/>
      <c r="BR25" s="264"/>
    </row>
    <row r="26" spans="2:70" ht="13.5" customHeight="1" x14ac:dyDescent="0.25">
      <c r="B26" s="10">
        <v>600</v>
      </c>
      <c r="C26" s="2">
        <f>ROUND((((($C$5-$D$5)/(LN(($C$5-$E$5)/($D$5-$E$5))))/49.8328865456397)^vstupy!C39)*vstupy!C31*$I$5,0)</f>
        <v>370</v>
      </c>
      <c r="D26" s="1">
        <f>ROUND((((($C$5-$D$5)/(LN(($C$5-$E$5)/($D$5-$E$5))))/49.8328865456397)^vstupy!D39)*vstupy!D31*$I$5,0)</f>
        <v>475</v>
      </c>
      <c r="E26" s="1">
        <f>ROUND((((($C$5-$D$5)/(LN(($C$5-$E$5)/($D$5-$E$5))))/49.8328865456397)^vstupy!E39)*vstupy!E31*$I$5,0)</f>
        <v>650</v>
      </c>
      <c r="F26" s="1">
        <f>ROUND((((($C$5-$D$5)/(LN(($C$5-$E$5)/($D$5-$E$5))))/49.8328865456397)^vstupy!F39)*vstupy!F31*$I$5,0)</f>
        <v>808</v>
      </c>
      <c r="G26" s="3">
        <f>ROUND((((($C$5-$D$5)/(LN(($C$5-$E$5)/($D$5-$E$5))))/49.8328865456397)^vstupy!G39)*vstupy!G31*$I$5,0)</f>
        <v>996</v>
      </c>
      <c r="H26" s="2">
        <f>ROUND((((($C$5-$D$5)/(LN(($C$5-$E$5)/($D$5-$E$5))))/49.8328865456397)^vstupy!H39)*vstupy!H31*$I$5,0)</f>
        <v>370</v>
      </c>
      <c r="I26" s="1">
        <f>ROUND((((($C$5-$D$5)/(LN(($C$5-$E$5)/($D$5-$E$5))))/49.8328865456397)^vstupy!I39)*vstupy!I31*$I$5,0)</f>
        <v>475</v>
      </c>
      <c r="J26" s="1">
        <f>ROUND((((($C$5-$D$5)/(LN(($C$5-$E$5)/($D$5-$E$5))))/49.8328865456397)^vstupy!J39)*vstupy!J31*$I$5,0)</f>
        <v>650</v>
      </c>
      <c r="K26" s="1">
        <f>ROUND((((($C$5-$D$5)/(LN(($C$5-$E$5)/($D$5-$E$5))))/49.8328865456397)^vstupy!K39)*vstupy!K31*$I$5,0)</f>
        <v>808</v>
      </c>
      <c r="L26" s="3">
        <f>ROUND((((($C$5-$D$5)/(LN(($C$5-$E$5)/($D$5-$E$5))))/49.8328865456397)^vstupy!L39)*vstupy!L31*$I$5,0)</f>
        <v>996</v>
      </c>
      <c r="M26" s="10">
        <v>600</v>
      </c>
      <c r="O26" s="10">
        <v>600</v>
      </c>
      <c r="P26" s="2">
        <f>ROUND((((($C$5-$D$5)/(LN(($C$5-$E$5)/($D$5-$E$5))))/49.8328865456397)^vstupy!P39)*vstupy!P31*$I$5,0)</f>
        <v>400</v>
      </c>
      <c r="Q26" s="1">
        <f>ROUND((((($C$5-$D$5)/(LN(($C$5-$E$5)/($D$5-$E$5))))/49.8328865456397)^vstupy!Q39)*vstupy!Q31*$I$5,0)</f>
        <v>515</v>
      </c>
      <c r="R26" s="1">
        <f>ROUND((((($C$5-$D$5)/(LN(($C$5-$E$5)/($D$5-$E$5))))/49.8328865456397)^vstupy!R39)*vstupy!R31*$I$5,0)</f>
        <v>703</v>
      </c>
      <c r="S26" s="1">
        <f>ROUND((((($C$5-$D$5)/(LN(($C$5-$E$5)/($D$5-$E$5))))/49.8328865456397)^vstupy!S39)*vstupy!S31*$I$5,0)</f>
        <v>874</v>
      </c>
      <c r="T26" s="3">
        <f>ROUND((((($C$5-$D$5)/(LN(($C$5-$E$5)/($D$5-$E$5))))/49.8328865456397)^vstupy!T39)*vstupy!T31*$I$5,0)</f>
        <v>1078</v>
      </c>
      <c r="U26" s="75"/>
      <c r="V26" s="76"/>
      <c r="W26" s="76"/>
      <c r="X26" s="76"/>
      <c r="Y26" s="77"/>
      <c r="Z26" s="10">
        <v>600</v>
      </c>
      <c r="AC26" s="10">
        <v>600</v>
      </c>
      <c r="AD26" s="2">
        <f>ROUND((vstupy!C31*POWER($F$5/50,vstupy!C39))*$I$5,0)</f>
        <v>370</v>
      </c>
      <c r="AE26" s="1">
        <f>ROUND((vstupy!D31*POWER($F$5/50,vstupy!D39))*$I$5,0)</f>
        <v>475</v>
      </c>
      <c r="AF26" s="1">
        <f>ROUND((vstupy!E31*POWER($F$5/50,vstupy!E39))*$I$5,0)</f>
        <v>650</v>
      </c>
      <c r="AG26" s="1">
        <f>ROUND((vstupy!F31*POWER($F$5/50,vstupy!F39))*$I$5,0)</f>
        <v>808</v>
      </c>
      <c r="AH26" s="3">
        <f>ROUND((vstupy!G31*POWER($F$5/50,vstupy!G39))*$I$5,0)</f>
        <v>996</v>
      </c>
      <c r="AI26" s="2">
        <f>ROUND((vstupy!H31*POWER($F$5/50,vstupy!H39))*$I$5,0)</f>
        <v>370</v>
      </c>
      <c r="AJ26" s="1">
        <f>ROUND((vstupy!I31*POWER($F$5/50,vstupy!I39))*$I$5,0)</f>
        <v>475</v>
      </c>
      <c r="AK26" s="1">
        <f>ROUND((vstupy!J31*POWER($F$5/50,vstupy!J39))*$I$5,0)</f>
        <v>650</v>
      </c>
      <c r="AL26" s="1">
        <f>ROUND((vstupy!K31*POWER($F$5/50,vstupy!K39))*$I$5,0)</f>
        <v>808</v>
      </c>
      <c r="AM26" s="3">
        <f>ROUND((vstupy!L31*POWER($F$5/50,vstupy!L39))*$I$5,0)</f>
        <v>996</v>
      </c>
      <c r="AN26" s="10">
        <v>600</v>
      </c>
      <c r="AP26" s="10">
        <v>600</v>
      </c>
      <c r="AQ26" s="2">
        <f>ROUND((vstupy!P31*POWER($F$5/50,vstupy!P39))*$I$5,0)</f>
        <v>400</v>
      </c>
      <c r="AR26" s="1">
        <f>ROUND((vstupy!Q31*POWER($F$5/50,vstupy!Q39))*$I$5,0)</f>
        <v>515</v>
      </c>
      <c r="AS26" s="1">
        <f>ROUND((vstupy!R31*POWER($F$5/50,vstupy!R39))*$I$5,0)</f>
        <v>703</v>
      </c>
      <c r="AT26" s="1">
        <f>ROUND((vstupy!S31*POWER($F$5/50,vstupy!S39))*$I$5,0)</f>
        <v>874</v>
      </c>
      <c r="AU26" s="3">
        <f>ROUND((vstupy!T31*POWER($F$5/50,vstupy!T39))*$I$5,0)</f>
        <v>1078</v>
      </c>
      <c r="AV26" s="75"/>
      <c r="AW26" s="76"/>
      <c r="AX26" s="76"/>
      <c r="AY26" s="76"/>
      <c r="AZ26" s="77"/>
      <c r="BA26" s="10">
        <v>600</v>
      </c>
      <c r="BI26" s="263"/>
      <c r="BJ26" s="263"/>
      <c r="BK26" s="263"/>
      <c r="BL26" s="49"/>
      <c r="BM26" s="263"/>
      <c r="BN26" s="270"/>
      <c r="BO26" s="263"/>
      <c r="BP26" s="271"/>
      <c r="BQ26" s="271"/>
      <c r="BR26" s="264"/>
    </row>
    <row r="27" spans="2:70" ht="13.5" customHeight="1" thickBot="1" x14ac:dyDescent="0.3">
      <c r="B27" s="11">
        <v>750</v>
      </c>
      <c r="C27" s="4">
        <f>ROUND((((($C$5-$D$5)/(LN(($C$5-$E$5)/($D$5-$E$5))))/49.8328865456397)^vstupy!C40)*vstupy!C32*$I$5,0)</f>
        <v>450</v>
      </c>
      <c r="D27" s="5">
        <f>ROUND((((($C$5-$D$5)/(LN(($C$5-$E$5)/($D$5-$E$5))))/49.8328865456397)^vstupy!D40)*vstupy!D32*$I$5,0)</f>
        <v>579</v>
      </c>
      <c r="E27" s="5">
        <f>ROUND((((($C$5-$D$5)/(LN(($C$5-$E$5)/($D$5-$E$5))))/49.8328865456397)^vstupy!E40)*vstupy!E32*$I$5,0)</f>
        <v>791</v>
      </c>
      <c r="F27" s="5">
        <f>ROUND((((($C$5-$D$5)/(LN(($C$5-$E$5)/($D$5-$E$5))))/49.8328865456397)^vstupy!F40)*vstupy!F32*$I$5,0)</f>
        <v>984</v>
      </c>
      <c r="G27" s="6">
        <f>ROUND((((($C$5-$D$5)/(LN(($C$5-$E$5)/($D$5-$E$5))))/49.8328865456397)^vstupy!G40)*vstupy!G32*$I$5,0)</f>
        <v>1213</v>
      </c>
      <c r="H27" s="4">
        <f>ROUND((((($C$5-$D$5)/(LN(($C$5-$E$5)/($D$5-$E$5))))/49.8328865456397)^vstupy!H40)*vstupy!H32*$I$5,0)</f>
        <v>450</v>
      </c>
      <c r="I27" s="5">
        <f>ROUND((((($C$5-$D$5)/(LN(($C$5-$E$5)/($D$5-$E$5))))/49.8328865456397)^vstupy!I40)*vstupy!I32*$I$5,0)</f>
        <v>579</v>
      </c>
      <c r="J27" s="5">
        <f>ROUND((((($C$5-$D$5)/(LN(($C$5-$E$5)/($D$5-$E$5))))/49.8328865456397)^vstupy!J40)*vstupy!J32*$I$5,0)</f>
        <v>791</v>
      </c>
      <c r="K27" s="5">
        <f>ROUND((((($C$5-$D$5)/(LN(($C$5-$E$5)/($D$5-$E$5))))/49.8328865456397)^vstupy!K40)*vstupy!K32*$I$5,0)</f>
        <v>984</v>
      </c>
      <c r="L27" s="6">
        <f>ROUND((((($C$5-$D$5)/(LN(($C$5-$E$5)/($D$5-$E$5))))/49.8328865456397)^vstupy!L40)*vstupy!L32*$I$5,0)</f>
        <v>1213</v>
      </c>
      <c r="M27" s="11">
        <v>750</v>
      </c>
      <c r="O27" s="11">
        <v>750</v>
      </c>
      <c r="P27" s="4">
        <f>ROUND((((($C$5-$D$5)/(LN(($C$5-$E$5)/($D$5-$E$5))))/49.8328865456397)^vstupy!P40)*vstupy!P32*$I$5,0)</f>
        <v>485</v>
      </c>
      <c r="Q27" s="5">
        <f>ROUND((((($C$5-$D$5)/(LN(($C$5-$E$5)/($D$5-$E$5))))/49.8328865456397)^vstupy!Q40)*vstupy!Q32*$I$5,0)</f>
        <v>624</v>
      </c>
      <c r="R27" s="5">
        <f>ROUND((((($C$5-$D$5)/(LN(($C$5-$E$5)/($D$5-$E$5))))/49.8328865456397)^vstupy!R40)*vstupy!R32*$I$5,0)</f>
        <v>852</v>
      </c>
      <c r="S27" s="5">
        <f>ROUND((((($C$5-$D$5)/(LN(($C$5-$E$5)/($D$5-$E$5))))/49.8328865456397)^vstupy!S40)*vstupy!S32*$I$5,0)</f>
        <v>1060</v>
      </c>
      <c r="T27" s="6">
        <f>ROUND((((($C$5-$D$5)/(LN(($C$5-$E$5)/($D$5-$E$5))))/49.8328865456397)^vstupy!T40)*vstupy!T32*$I$5,0)</f>
        <v>1307</v>
      </c>
      <c r="U27" s="78"/>
      <c r="V27" s="79"/>
      <c r="W27" s="79"/>
      <c r="X27" s="79"/>
      <c r="Y27" s="80"/>
      <c r="Z27" s="11">
        <v>750</v>
      </c>
      <c r="AC27" s="11">
        <v>750</v>
      </c>
      <c r="AD27" s="4">
        <f>ROUND((vstupy!C32*POWER($F$5/50,vstupy!C40))*$I$5,0)</f>
        <v>450</v>
      </c>
      <c r="AE27" s="5">
        <f>ROUND((vstupy!D32*POWER($F$5/50,vstupy!D40))*$I$5,0)</f>
        <v>579</v>
      </c>
      <c r="AF27" s="5">
        <f>ROUND((vstupy!E32*POWER($F$5/50,vstupy!E40))*$I$5,0)</f>
        <v>791</v>
      </c>
      <c r="AG27" s="5">
        <f>ROUND((vstupy!F32*POWER($F$5/50,vstupy!F40))*$I$5,0)</f>
        <v>984</v>
      </c>
      <c r="AH27" s="6">
        <f>ROUND((vstupy!G32*POWER($F$5/50,vstupy!G40))*$I$5,0)</f>
        <v>1213</v>
      </c>
      <c r="AI27" s="4">
        <f>ROUND((vstupy!H32*POWER($F$5/50,vstupy!H40))*$I$5,0)</f>
        <v>450</v>
      </c>
      <c r="AJ27" s="5">
        <f>ROUND((vstupy!I32*POWER($F$5/50,vstupy!I40))*$I$5,0)</f>
        <v>579</v>
      </c>
      <c r="AK27" s="5">
        <f>ROUND((vstupy!J32*POWER($F$5/50,vstupy!J40))*$I$5,0)</f>
        <v>791</v>
      </c>
      <c r="AL27" s="5">
        <f>ROUND((vstupy!K32*POWER($F$5/50,vstupy!K40))*$I$5,0)</f>
        <v>984</v>
      </c>
      <c r="AM27" s="6">
        <f>ROUND((vstupy!L32*POWER($F$5/50,vstupy!L40))*$I$5,0)</f>
        <v>1213</v>
      </c>
      <c r="AN27" s="11">
        <v>750</v>
      </c>
      <c r="AP27" s="11">
        <v>750</v>
      </c>
      <c r="AQ27" s="4">
        <f>ROUND((vstupy!P32*POWER($F$5/50,vstupy!P40))*$I$5,0)</f>
        <v>485</v>
      </c>
      <c r="AR27" s="5">
        <f>ROUND((vstupy!Q32*POWER($F$5/50,vstupy!Q40))*$I$5,0)</f>
        <v>624</v>
      </c>
      <c r="AS27" s="5">
        <f>ROUND((vstupy!R32*POWER($F$5/50,vstupy!R40))*$I$5,0)</f>
        <v>852</v>
      </c>
      <c r="AT27" s="5">
        <f>ROUND((vstupy!S32*POWER($F$5/50,vstupy!S40))*$I$5,0)</f>
        <v>1060</v>
      </c>
      <c r="AU27" s="6">
        <f>ROUND((vstupy!T32*POWER($F$5/50,vstupy!T40))*$I$5,0)</f>
        <v>1307</v>
      </c>
      <c r="AV27" s="78"/>
      <c r="AW27" s="79"/>
      <c r="AX27" s="79"/>
      <c r="AY27" s="79"/>
      <c r="AZ27" s="80"/>
      <c r="BA27" s="11">
        <v>750</v>
      </c>
    </row>
    <row r="28" spans="2:70" ht="13.5" customHeight="1" thickBot="1" x14ac:dyDescent="0.3">
      <c r="B28" s="177"/>
      <c r="C28" s="177"/>
      <c r="D28" s="177"/>
      <c r="E28" s="177"/>
      <c r="F28" s="177"/>
      <c r="G28" s="177"/>
      <c r="H28" s="177"/>
      <c r="I28" s="177"/>
      <c r="J28" s="177"/>
      <c r="K28" s="177"/>
      <c r="L28" s="177"/>
      <c r="M28" s="177"/>
      <c r="O28" s="177"/>
      <c r="P28" s="177"/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C28" s="177"/>
      <c r="AD28" s="177"/>
      <c r="AE28" s="177"/>
      <c r="AF28" s="177"/>
      <c r="AG28" s="177"/>
      <c r="AH28" s="177"/>
      <c r="AI28" s="177"/>
      <c r="AJ28" s="177"/>
      <c r="AK28" s="177"/>
      <c r="AL28" s="177"/>
      <c r="AM28" s="177"/>
      <c r="AN28" s="177"/>
      <c r="AP28" s="177"/>
      <c r="AQ28" s="177"/>
      <c r="AR28" s="177"/>
      <c r="AS28" s="177"/>
      <c r="AT28" s="177"/>
      <c r="AU28" s="177"/>
      <c r="AV28" s="177"/>
      <c r="AW28" s="177"/>
      <c r="AX28" s="177"/>
      <c r="AY28" s="177"/>
      <c r="AZ28" s="177"/>
      <c r="BA28" s="177"/>
    </row>
    <row r="29" spans="2:70" ht="15" customHeight="1" thickBot="1" x14ac:dyDescent="0.3">
      <c r="B29" s="34"/>
      <c r="C29" s="35" t="s">
        <v>12</v>
      </c>
      <c r="D29" s="36"/>
      <c r="E29" s="36"/>
      <c r="F29" s="36"/>
      <c r="G29" s="36"/>
      <c r="H29" s="35" t="s">
        <v>13</v>
      </c>
      <c r="I29" s="36"/>
      <c r="J29" s="36"/>
      <c r="K29" s="36"/>
      <c r="L29" s="37"/>
      <c r="M29" s="34"/>
      <c r="O29" s="34"/>
      <c r="P29" s="35" t="s">
        <v>12</v>
      </c>
      <c r="Q29" s="36"/>
      <c r="R29" s="36"/>
      <c r="S29" s="36"/>
      <c r="T29" s="36"/>
      <c r="U29" s="35" t="s">
        <v>13</v>
      </c>
      <c r="V29" s="36"/>
      <c r="W29" s="36"/>
      <c r="X29" s="36"/>
      <c r="Y29" s="37"/>
      <c r="Z29" s="34"/>
      <c r="AC29" s="34"/>
      <c r="AD29" s="35" t="s">
        <v>12</v>
      </c>
      <c r="AE29" s="36"/>
      <c r="AF29" s="36"/>
      <c r="AG29" s="36"/>
      <c r="AH29" s="36"/>
      <c r="AI29" s="35" t="s">
        <v>13</v>
      </c>
      <c r="AJ29" s="36"/>
      <c r="AK29" s="36"/>
      <c r="AL29" s="36"/>
      <c r="AM29" s="37"/>
      <c r="AN29" s="34"/>
      <c r="AP29" s="34"/>
      <c r="AQ29" s="35" t="s">
        <v>12</v>
      </c>
      <c r="AR29" s="36"/>
      <c r="AS29" s="36"/>
      <c r="AT29" s="36"/>
      <c r="AU29" s="36"/>
      <c r="AV29" s="35" t="s">
        <v>13</v>
      </c>
      <c r="AW29" s="36"/>
      <c r="AX29" s="36"/>
      <c r="AY29" s="36"/>
      <c r="AZ29" s="37"/>
      <c r="BA29" s="34"/>
    </row>
    <row r="30" spans="2:70" ht="15" customHeight="1" x14ac:dyDescent="0.25">
      <c r="B30" s="7" t="s">
        <v>9</v>
      </c>
      <c r="C30" s="38" t="s">
        <v>10</v>
      </c>
      <c r="D30" s="39"/>
      <c r="E30" s="39"/>
      <c r="F30" s="39"/>
      <c r="G30" s="40"/>
      <c r="H30" s="38" t="s">
        <v>10</v>
      </c>
      <c r="I30" s="39"/>
      <c r="J30" s="39"/>
      <c r="K30" s="39"/>
      <c r="L30" s="40"/>
      <c r="M30" s="7" t="s">
        <v>9</v>
      </c>
      <c r="O30" s="7" t="s">
        <v>9</v>
      </c>
      <c r="P30" s="38" t="s">
        <v>10</v>
      </c>
      <c r="Q30" s="39"/>
      <c r="R30" s="39"/>
      <c r="S30" s="39"/>
      <c r="T30" s="40"/>
      <c r="U30" s="38" t="s">
        <v>10</v>
      </c>
      <c r="V30" s="39"/>
      <c r="W30" s="39"/>
      <c r="X30" s="39"/>
      <c r="Y30" s="40"/>
      <c r="Z30" s="7" t="s">
        <v>9</v>
      </c>
      <c r="AC30" s="7" t="s">
        <v>9</v>
      </c>
      <c r="AD30" s="38" t="s">
        <v>10</v>
      </c>
      <c r="AE30" s="39"/>
      <c r="AF30" s="39"/>
      <c r="AG30" s="39"/>
      <c r="AH30" s="40"/>
      <c r="AI30" s="38" t="s">
        <v>10</v>
      </c>
      <c r="AJ30" s="39"/>
      <c r="AK30" s="39"/>
      <c r="AL30" s="39"/>
      <c r="AM30" s="40"/>
      <c r="AN30" s="7" t="s">
        <v>9</v>
      </c>
      <c r="AP30" s="7" t="s">
        <v>9</v>
      </c>
      <c r="AQ30" s="38" t="s">
        <v>10</v>
      </c>
      <c r="AR30" s="39"/>
      <c r="AS30" s="39"/>
      <c r="AT30" s="39"/>
      <c r="AU30" s="40"/>
      <c r="AV30" s="38" t="s">
        <v>10</v>
      </c>
      <c r="AW30" s="39"/>
      <c r="AX30" s="39"/>
      <c r="AY30" s="39"/>
      <c r="AZ30" s="40"/>
      <c r="BA30" s="7" t="s">
        <v>9</v>
      </c>
    </row>
    <row r="31" spans="2:70" ht="15" customHeight="1" thickBot="1" x14ac:dyDescent="0.3">
      <c r="B31" s="8" t="s">
        <v>11</v>
      </c>
      <c r="C31" s="15">
        <v>700</v>
      </c>
      <c r="D31" s="16">
        <v>900</v>
      </c>
      <c r="E31" s="16">
        <v>1220</v>
      </c>
      <c r="F31" s="16">
        <v>1500</v>
      </c>
      <c r="G31" s="17">
        <v>1820</v>
      </c>
      <c r="H31" s="15">
        <v>700</v>
      </c>
      <c r="I31" s="16">
        <v>900</v>
      </c>
      <c r="J31" s="16">
        <v>1220</v>
      </c>
      <c r="K31" s="16">
        <v>1500</v>
      </c>
      <c r="L31" s="17">
        <v>1820</v>
      </c>
      <c r="M31" s="8" t="s">
        <v>11</v>
      </c>
      <c r="O31" s="8" t="s">
        <v>11</v>
      </c>
      <c r="P31" s="15">
        <v>700</v>
      </c>
      <c r="Q31" s="16">
        <v>900</v>
      </c>
      <c r="R31" s="16">
        <v>1220</v>
      </c>
      <c r="S31" s="16">
        <v>1500</v>
      </c>
      <c r="T31" s="17">
        <v>1820</v>
      </c>
      <c r="U31" s="15">
        <v>700</v>
      </c>
      <c r="V31" s="16">
        <v>900</v>
      </c>
      <c r="W31" s="16">
        <v>1220</v>
      </c>
      <c r="X31" s="16">
        <v>1500</v>
      </c>
      <c r="Y31" s="17">
        <v>1820</v>
      </c>
      <c r="Z31" s="8" t="s">
        <v>11</v>
      </c>
      <c r="AC31" s="8" t="s">
        <v>11</v>
      </c>
      <c r="AD31" s="15">
        <v>700</v>
      </c>
      <c r="AE31" s="16">
        <v>900</v>
      </c>
      <c r="AF31" s="16">
        <v>1220</v>
      </c>
      <c r="AG31" s="16">
        <v>1500</v>
      </c>
      <c r="AH31" s="17">
        <v>1820</v>
      </c>
      <c r="AI31" s="15">
        <v>700</v>
      </c>
      <c r="AJ31" s="16">
        <v>900</v>
      </c>
      <c r="AK31" s="16">
        <v>1220</v>
      </c>
      <c r="AL31" s="16">
        <v>1500</v>
      </c>
      <c r="AM31" s="17">
        <v>1820</v>
      </c>
      <c r="AN31" s="8" t="s">
        <v>11</v>
      </c>
      <c r="AP31" s="8" t="s">
        <v>11</v>
      </c>
      <c r="AQ31" s="15">
        <v>700</v>
      </c>
      <c r="AR31" s="16">
        <v>900</v>
      </c>
      <c r="AS31" s="16">
        <v>1220</v>
      </c>
      <c r="AT31" s="16">
        <v>1500</v>
      </c>
      <c r="AU31" s="17">
        <v>1820</v>
      </c>
      <c r="AV31" s="15">
        <v>700</v>
      </c>
      <c r="AW31" s="16">
        <v>900</v>
      </c>
      <c r="AX31" s="16">
        <v>1220</v>
      </c>
      <c r="AY31" s="16">
        <v>1500</v>
      </c>
      <c r="AZ31" s="17">
        <v>1820</v>
      </c>
      <c r="BA31" s="8" t="s">
        <v>11</v>
      </c>
    </row>
    <row r="32" spans="2:70" ht="13.5" customHeight="1" x14ac:dyDescent="0.25">
      <c r="B32" s="9">
        <v>450</v>
      </c>
      <c r="C32" s="12">
        <f>ROUND((((($C$5-$D$5)/(LN(($C$5-$E$5)/($D$5-$E$5))))/49.8328865456397)^vstupy!C53)*vstupy!C45*$I$5,0)</f>
        <v>255</v>
      </c>
      <c r="D32" s="13">
        <f>ROUND((((($C$5-$D$5)/(LN(($C$5-$E$5)/($D$5-$E$5))))/49.8328865456397)^vstupy!D53)*vstupy!D45*$I$5,0)</f>
        <v>333</v>
      </c>
      <c r="E32" s="13">
        <f>ROUND((((($C$5-$D$5)/(LN(($C$5-$E$5)/($D$5-$E$5))))/49.8328865456397)^vstupy!E53)*vstupy!E45*$I$5,0)</f>
        <v>462</v>
      </c>
      <c r="F32" s="13">
        <f>ROUND((((($C$5-$D$5)/(LN(($C$5-$E$5)/($D$5-$E$5))))/49.8328865456397)^vstupy!F53)*vstupy!F45*$I$5,0)</f>
        <v>581</v>
      </c>
      <c r="G32" s="14">
        <f>ROUND((((($C$5-$D$5)/(LN(($C$5-$E$5)/($D$5-$E$5))))/49.8328865456397)^vstupy!G53)*vstupy!G45*$I$5,0)</f>
        <v>725</v>
      </c>
      <c r="H32" s="12">
        <f>ROUND((((($C$5-$D$5)/(LN(($C$5-$E$5)/($D$5-$E$5))))/49.8328865456397)^vstupy!H53)*vstupy!H45*$I$5,0)</f>
        <v>255</v>
      </c>
      <c r="I32" s="13">
        <f>ROUND((((($C$5-$D$5)/(LN(($C$5-$E$5)/($D$5-$E$5))))/49.8328865456397)^vstupy!I53)*vstupy!I45*$I$5,0)</f>
        <v>333</v>
      </c>
      <c r="J32" s="13">
        <f>ROUND((((($C$5-$D$5)/(LN(($C$5-$E$5)/($D$5-$E$5))))/49.8328865456397)^vstupy!J53)*vstupy!J45*$I$5,0)</f>
        <v>462</v>
      </c>
      <c r="K32" s="13">
        <f>ROUND((((($C$5-$D$5)/(LN(($C$5-$E$5)/($D$5-$E$5))))/49.8328865456397)^vstupy!K53)*vstupy!K45*$I$5,0)</f>
        <v>581</v>
      </c>
      <c r="L32" s="14">
        <f>ROUND((((($C$5-$D$5)/(LN(($C$5-$E$5)/($D$5-$E$5))))/49.8328865456397)^vstupy!L53)*vstupy!L45*$I$5,0)</f>
        <v>725</v>
      </c>
      <c r="M32" s="9">
        <v>450</v>
      </c>
      <c r="O32" s="9">
        <v>450</v>
      </c>
      <c r="P32" s="12">
        <f>ROUND((((($C$5-$D$5)/(LN(($C$5-$E$5)/($D$5-$E$5))))/49.8328865456397)^vstupy!P53)*vstupy!P45*$I$5,0)</f>
        <v>291</v>
      </c>
      <c r="Q32" s="13">
        <f>ROUND((((($C$5-$D$5)/(LN(($C$5-$E$5)/($D$5-$E$5))))/49.8328865456397)^vstupy!Q53)*vstupy!Q45*$I$5,0)</f>
        <v>378</v>
      </c>
      <c r="R32" s="13">
        <f>ROUND((((($C$5-$D$5)/(LN(($C$5-$E$5)/($D$5-$E$5))))/49.8328865456397)^vstupy!R53)*vstupy!R45*$I$5,0)</f>
        <v>519</v>
      </c>
      <c r="S32" s="13">
        <f>ROUND((((($C$5-$D$5)/(LN(($C$5-$E$5)/($D$5-$E$5))))/49.8328865456397)^vstupy!S53)*vstupy!S45*$I$5,0)</f>
        <v>643</v>
      </c>
      <c r="T32" s="13">
        <f>ROUND((((($C$5-$D$5)/(LN(($C$5-$E$5)/($D$5-$E$5))))/49.8328865456397)^vstupy!T53)*vstupy!T45*$I$5,0)</f>
        <v>786</v>
      </c>
      <c r="U32" s="72"/>
      <c r="V32" s="73"/>
      <c r="W32" s="73"/>
      <c r="X32" s="73"/>
      <c r="Y32" s="74"/>
      <c r="Z32" s="9">
        <v>450</v>
      </c>
      <c r="AC32" s="9">
        <v>450</v>
      </c>
      <c r="AD32" s="12">
        <f>ROUND((vstupy!C45*POWER($F$5/50,vstupy!C53))*$I$5,0)</f>
        <v>255</v>
      </c>
      <c r="AE32" s="13">
        <f>ROUND((vstupy!D45*POWER($F$5/50,vstupy!D53))*$I$5,0)</f>
        <v>333</v>
      </c>
      <c r="AF32" s="13">
        <f>ROUND((vstupy!E45*POWER($F$5/50,vstupy!E53))*$I$5,0)</f>
        <v>462</v>
      </c>
      <c r="AG32" s="13">
        <f>ROUND((vstupy!F45*POWER($F$5/50,vstupy!F53))*$I$5,0)</f>
        <v>581</v>
      </c>
      <c r="AH32" s="14">
        <f>ROUND((vstupy!G45*POWER($F$5/50,vstupy!G53))*$I$5,0)</f>
        <v>725</v>
      </c>
      <c r="AI32" s="12">
        <f>ROUND((vstupy!H45*POWER($F$5/50,vstupy!H53))*$I$5,0)</f>
        <v>255</v>
      </c>
      <c r="AJ32" s="13">
        <f>ROUND((vstupy!I45*POWER($F$5/50,vstupy!I53))*$I$5,0)</f>
        <v>333</v>
      </c>
      <c r="AK32" s="13">
        <f>ROUND((vstupy!J45*POWER($F$5/50,vstupy!J53))*$I$5,0)</f>
        <v>462</v>
      </c>
      <c r="AL32" s="13">
        <f>ROUND((vstupy!K45*POWER($F$5/50,vstupy!K53))*$I$5,0)</f>
        <v>581</v>
      </c>
      <c r="AM32" s="14">
        <f>ROUND((vstupy!L45*POWER($F$5/50,vstupy!L53))*$I$5,0)</f>
        <v>725</v>
      </c>
      <c r="AN32" s="9">
        <v>450</v>
      </c>
      <c r="AP32" s="9">
        <v>450</v>
      </c>
      <c r="AQ32" s="12">
        <f>ROUND((vstupy!P45*POWER($F$5/50,vstupy!P53))*$I$5,0)</f>
        <v>291</v>
      </c>
      <c r="AR32" s="13">
        <f>ROUND((vstupy!Q45*POWER($F$5/50,vstupy!Q53))*$I$5,0)</f>
        <v>378</v>
      </c>
      <c r="AS32" s="13">
        <f>ROUND((vstupy!R45*POWER($F$5/50,vstupy!R53))*$I$5,0)</f>
        <v>519</v>
      </c>
      <c r="AT32" s="13">
        <f>ROUND((vstupy!S45*POWER($F$5/50,vstupy!S53))*$I$5,0)</f>
        <v>643</v>
      </c>
      <c r="AU32" s="13">
        <f>ROUND((vstupy!T45*POWER($F$5/50,vstupy!T53))*$I$5,0)</f>
        <v>786</v>
      </c>
      <c r="AV32" s="72"/>
      <c r="AW32" s="73"/>
      <c r="AX32" s="73"/>
      <c r="AY32" s="73"/>
      <c r="AZ32" s="74"/>
      <c r="BA32" s="9">
        <v>450</v>
      </c>
    </row>
    <row r="33" spans="2:53" ht="13.5" customHeight="1" x14ac:dyDescent="0.25">
      <c r="B33" s="168">
        <v>500</v>
      </c>
      <c r="C33" s="12">
        <f>ROUND((((($C$5-$D$5)/(LN(($C$5-$E$5)/($D$5-$E$5))))/49.8328865456397)^vstupy!C54)*vstupy!C46*$I$5,0)</f>
        <v>280</v>
      </c>
      <c r="D33" s="13">
        <f>ROUND((((($C$5-$D$5)/(LN(($C$5-$E$5)/($D$5-$E$5))))/49.8328865456397)^vstupy!D54)*vstupy!D46*$I$5,0)</f>
        <v>365</v>
      </c>
      <c r="E33" s="13">
        <f>ROUND((((($C$5-$D$5)/(LN(($C$5-$E$5)/($D$5-$E$5))))/49.8328865456397)^vstupy!E54)*vstupy!E46*$I$5,0)</f>
        <v>507</v>
      </c>
      <c r="F33" s="13">
        <f>ROUND((((($C$5-$D$5)/(LN(($C$5-$E$5)/($D$5-$E$5))))/49.8328865456397)^vstupy!F54)*vstupy!F46*$I$5,0)</f>
        <v>638</v>
      </c>
      <c r="G33" s="14">
        <f>ROUND((((($C$5-$D$5)/(LN(($C$5-$E$5)/($D$5-$E$5))))/49.8328865456397)^vstupy!G54)*vstupy!G46*$I$5,0)</f>
        <v>795</v>
      </c>
      <c r="H33" s="12">
        <f>ROUND((((($C$5-$D$5)/(LN(($C$5-$E$5)/($D$5-$E$5))))/49.8328865456397)^vstupy!H54)*vstupy!H46*$I$5,0)</f>
        <v>280</v>
      </c>
      <c r="I33" s="13">
        <f>ROUND((((($C$5-$D$5)/(LN(($C$5-$E$5)/($D$5-$E$5))))/49.8328865456397)^vstupy!I54)*vstupy!I46*$I$5,0)</f>
        <v>365</v>
      </c>
      <c r="J33" s="13">
        <f>ROUND((((($C$5-$D$5)/(LN(($C$5-$E$5)/($D$5-$E$5))))/49.8328865456397)^vstupy!J54)*vstupy!J46*$I$5,0)</f>
        <v>507</v>
      </c>
      <c r="K33" s="13">
        <f>ROUND((((($C$5-$D$5)/(LN(($C$5-$E$5)/($D$5-$E$5))))/49.8328865456397)^vstupy!K54)*vstupy!K46*$I$5,0)</f>
        <v>638</v>
      </c>
      <c r="L33" s="14">
        <f>ROUND((((($C$5-$D$5)/(LN(($C$5-$E$5)/($D$5-$E$5))))/49.8328865456397)^vstupy!L54)*vstupy!L46*$I$5,0)</f>
        <v>795</v>
      </c>
      <c r="M33" s="168">
        <v>500</v>
      </c>
      <c r="O33" s="168">
        <v>500</v>
      </c>
      <c r="P33" s="12">
        <f>ROUND((((($C$5-$D$5)/(LN(($C$5-$E$5)/($D$5-$E$5))))/49.8328865456397)^vstupy!P54)*vstupy!P46*$I$5,0)</f>
        <v>318</v>
      </c>
      <c r="Q33" s="13">
        <f>ROUND((((($C$5-$D$5)/(LN(($C$5-$E$5)/($D$5-$E$5))))/49.8328865456397)^vstupy!Q54)*vstupy!Q46*$I$5,0)</f>
        <v>413</v>
      </c>
      <c r="R33" s="13">
        <f>ROUND((((($C$5-$D$5)/(LN(($C$5-$E$5)/($D$5-$E$5))))/49.8328865456397)^vstupy!R54)*vstupy!R46*$I$5,0)</f>
        <v>567</v>
      </c>
      <c r="S33" s="13">
        <f>ROUND((((($C$5-$D$5)/(LN(($C$5-$E$5)/($D$5-$E$5))))/49.8328865456397)^vstupy!S54)*vstupy!S46*$I$5,0)</f>
        <v>703</v>
      </c>
      <c r="T33" s="208">
        <f>ROUND((((($C$5-$D$5)/(LN(($C$5-$E$5)/($D$5-$E$5))))/49.8328865456397)^vstupy!T54)*vstupy!T46*$I$5,0)</f>
        <v>859</v>
      </c>
      <c r="U33" s="169"/>
      <c r="V33" s="170"/>
      <c r="W33" s="170"/>
      <c r="X33" s="170"/>
      <c r="Y33" s="171"/>
      <c r="Z33" s="168">
        <v>500</v>
      </c>
      <c r="AC33" s="168">
        <v>500</v>
      </c>
      <c r="AD33" s="2">
        <f>ROUND((vstupy!C46*POWER($F$5/50,vstupy!C54))*$I$5,0)</f>
        <v>280</v>
      </c>
      <c r="AE33" s="1">
        <f>ROUND((vstupy!D46*POWER($F$5/50,vstupy!D54))*$I$5,0)</f>
        <v>365</v>
      </c>
      <c r="AF33" s="1">
        <f>ROUND((vstupy!E46*POWER($F$5/50,vstupy!E54))*$I$5,0)</f>
        <v>507</v>
      </c>
      <c r="AG33" s="1">
        <f>ROUND((vstupy!F46*POWER($F$5/50,vstupy!F54))*$I$5,0)</f>
        <v>638</v>
      </c>
      <c r="AH33" s="3">
        <f>ROUND((vstupy!G46*POWER($F$5/50,vstupy!G54))*$I$5,0)</f>
        <v>795</v>
      </c>
      <c r="AI33" s="2">
        <f>ROUND((vstupy!H46*POWER($F$5/50,vstupy!H54))*$I$5,0)</f>
        <v>280</v>
      </c>
      <c r="AJ33" s="1">
        <f>ROUND((vstupy!I46*POWER($F$5/50,vstupy!I54))*$I$5,0)</f>
        <v>365</v>
      </c>
      <c r="AK33" s="1">
        <f>ROUND((vstupy!J46*POWER($F$5/50,vstupy!J54))*$I$5,0)</f>
        <v>507</v>
      </c>
      <c r="AL33" s="1">
        <f>ROUND((vstupy!K46*POWER($F$5/50,vstupy!K54))*$I$5,0)</f>
        <v>638</v>
      </c>
      <c r="AM33" s="3">
        <f>ROUND((vstupy!L46*POWER($F$5/50,vstupy!L54))*$I$5,0)</f>
        <v>795</v>
      </c>
      <c r="AN33" s="168">
        <v>500</v>
      </c>
      <c r="AP33" s="168">
        <v>500</v>
      </c>
      <c r="AQ33" s="12">
        <f>ROUND((vstupy!P46*POWER($F$5/50,vstupy!P54))*$I$5,0)</f>
        <v>318</v>
      </c>
      <c r="AR33" s="13">
        <f>ROUND((vstupy!Q46*POWER($F$5/50,vstupy!Q54))*$I$5,0)</f>
        <v>413</v>
      </c>
      <c r="AS33" s="13">
        <f>ROUND((vstupy!R46*POWER($F$5/50,vstupy!R54))*$I$5,0)</f>
        <v>567</v>
      </c>
      <c r="AT33" s="13">
        <f>ROUND((vstupy!S46*POWER($F$5/50,vstupy!S54))*$I$5,0)</f>
        <v>703</v>
      </c>
      <c r="AU33" s="208">
        <f>ROUND((vstupy!T46*POWER($F$5/50,vstupy!T54))*$I$5,0)</f>
        <v>859</v>
      </c>
      <c r="AV33" s="169"/>
      <c r="AW33" s="170"/>
      <c r="AX33" s="170"/>
      <c r="AY33" s="170"/>
      <c r="AZ33" s="171"/>
      <c r="BA33" s="168">
        <v>500</v>
      </c>
    </row>
    <row r="34" spans="2:53" ht="13.5" customHeight="1" x14ac:dyDescent="0.25">
      <c r="B34" s="10">
        <v>600</v>
      </c>
      <c r="C34" s="2">
        <f>ROUND((((($C$5-$D$5)/(LN(($C$5-$E$5)/($D$5-$E$5))))/49.8328865456397)^vstupy!C55)*vstupy!C47*$I$5,0)</f>
        <v>329</v>
      </c>
      <c r="D34" s="1">
        <f>ROUND((((($C$5-$D$5)/(LN(($C$5-$E$5)/($D$5-$E$5))))/49.8328865456397)^vstupy!D55)*vstupy!D47*$I$5,0)</f>
        <v>429</v>
      </c>
      <c r="E34" s="1">
        <f>ROUND((((($C$5-$D$5)/(LN(($C$5-$E$5)/($D$5-$E$5))))/49.8328865456397)^vstupy!E55)*vstupy!E47*$I$5,0)</f>
        <v>596</v>
      </c>
      <c r="F34" s="1">
        <f>ROUND((((($C$5-$D$5)/(LN(($C$5-$E$5)/($D$5-$E$5))))/49.8328865456397)^vstupy!F55)*vstupy!F47*$I$5,0)</f>
        <v>750</v>
      </c>
      <c r="G34" s="3">
        <f>ROUND((((($C$5-$D$5)/(LN(($C$5-$E$5)/($D$5-$E$5))))/49.8328865456397)^vstupy!G55)*vstupy!G47*$I$5,0)</f>
        <v>934</v>
      </c>
      <c r="H34" s="2">
        <f>ROUND((((($C$5-$D$5)/(LN(($C$5-$E$5)/($D$5-$E$5))))/49.8328865456397)^vstupy!H55)*vstupy!H47*$I$5,0)</f>
        <v>329</v>
      </c>
      <c r="I34" s="1">
        <f>ROUND((((($C$5-$D$5)/(LN(($C$5-$E$5)/($D$5-$E$5))))/49.8328865456397)^vstupy!I55)*vstupy!I47*$I$5,0)</f>
        <v>429</v>
      </c>
      <c r="J34" s="1">
        <f>ROUND((((($C$5-$D$5)/(LN(($C$5-$E$5)/($D$5-$E$5))))/49.8328865456397)^vstupy!J55)*vstupy!J47*$I$5,0)</f>
        <v>596</v>
      </c>
      <c r="K34" s="1">
        <f>ROUND((((($C$5-$D$5)/(LN(($C$5-$E$5)/($D$5-$E$5))))/49.8328865456397)^vstupy!K55)*vstupy!K47*$I$5,0)</f>
        <v>750</v>
      </c>
      <c r="L34" s="3">
        <f>ROUND((((($C$5-$D$5)/(LN(($C$5-$E$5)/($D$5-$E$5))))/49.8328865456397)^vstupy!L55)*vstupy!L47*$I$5,0)</f>
        <v>934</v>
      </c>
      <c r="M34" s="10">
        <v>600</v>
      </c>
      <c r="O34" s="10">
        <v>600</v>
      </c>
      <c r="P34" s="2">
        <f>ROUND((((($C$5-$D$5)/(LN(($C$5-$E$5)/($D$5-$E$5))))/49.8328865456397)^vstupy!P55)*vstupy!P47*$I$5,0)</f>
        <v>372</v>
      </c>
      <c r="Q34" s="1">
        <f>ROUND((((($C$5-$D$5)/(LN(($C$5-$E$5)/($D$5-$E$5))))/49.8328865456397)^vstupy!Q55)*vstupy!Q47*$I$5,0)</f>
        <v>482</v>
      </c>
      <c r="R34" s="1">
        <f>ROUND((((($C$5-$D$5)/(LN(($C$5-$E$5)/($D$5-$E$5))))/49.8328865456397)^vstupy!R55)*vstupy!R47*$I$5,0)</f>
        <v>662</v>
      </c>
      <c r="S34" s="1">
        <f>ROUND((((($C$5-$D$5)/(LN(($C$5-$E$5)/($D$5-$E$5))))/49.8328865456397)^vstupy!S55)*vstupy!S47*$I$5,0)</f>
        <v>820</v>
      </c>
      <c r="T34" s="3">
        <f>ROUND((((($C$5-$D$5)/(LN(($C$5-$E$5)/($D$5-$E$5))))/49.8328865456397)^vstupy!T55)*vstupy!T47*$I$5,0)</f>
        <v>1003</v>
      </c>
      <c r="U34" s="75"/>
      <c r="V34" s="76"/>
      <c r="W34" s="76"/>
      <c r="X34" s="76"/>
      <c r="Y34" s="77"/>
      <c r="Z34" s="10">
        <v>600</v>
      </c>
      <c r="AC34" s="10">
        <v>600</v>
      </c>
      <c r="AD34" s="2">
        <f>ROUND((vstupy!C47*POWER($F$5/50,vstupy!C55))*$I$5,0)</f>
        <v>329</v>
      </c>
      <c r="AE34" s="1">
        <f>ROUND((vstupy!D47*POWER($F$5/50,vstupy!D55))*$I$5,0)</f>
        <v>429</v>
      </c>
      <c r="AF34" s="1">
        <f>ROUND((vstupy!E47*POWER($F$5/50,vstupy!E55))*$I$5,0)</f>
        <v>596</v>
      </c>
      <c r="AG34" s="1">
        <f>ROUND((vstupy!F47*POWER($F$5/50,vstupy!F55))*$I$5,0)</f>
        <v>750</v>
      </c>
      <c r="AH34" s="3">
        <f>ROUND((vstupy!G47*POWER($F$5/50,vstupy!G55))*$I$5,0)</f>
        <v>934</v>
      </c>
      <c r="AI34" s="2">
        <f>ROUND((vstupy!H47*POWER($F$5/50,vstupy!H55))*$I$5,0)</f>
        <v>329</v>
      </c>
      <c r="AJ34" s="1">
        <f>ROUND((vstupy!I47*POWER($F$5/50,vstupy!I55))*$I$5,0)</f>
        <v>429</v>
      </c>
      <c r="AK34" s="1">
        <f>ROUND((vstupy!J47*POWER($F$5/50,vstupy!J55))*$I$5,0)</f>
        <v>596</v>
      </c>
      <c r="AL34" s="1">
        <f>ROUND((vstupy!K47*POWER($F$5/50,vstupy!K55))*$I$5,0)</f>
        <v>750</v>
      </c>
      <c r="AM34" s="3">
        <f>ROUND((vstupy!L47*POWER($F$5/50,vstupy!L55))*$I$5,0)</f>
        <v>934</v>
      </c>
      <c r="AN34" s="10">
        <v>600</v>
      </c>
      <c r="AP34" s="10">
        <v>600</v>
      </c>
      <c r="AQ34" s="2">
        <f>ROUND((vstupy!P47*POWER($F$5/50,vstupy!P55))*$I$5,0)</f>
        <v>372</v>
      </c>
      <c r="AR34" s="1">
        <f>ROUND((vstupy!Q47*POWER($F$5/50,vstupy!Q55))*$I$5,0)</f>
        <v>482</v>
      </c>
      <c r="AS34" s="1">
        <f>ROUND((vstupy!R47*POWER($F$5/50,vstupy!R55))*$I$5,0)</f>
        <v>662</v>
      </c>
      <c r="AT34" s="1">
        <f>ROUND((vstupy!S47*POWER($F$5/50,vstupy!S55))*$I$5,0)</f>
        <v>820</v>
      </c>
      <c r="AU34" s="3">
        <f>ROUND((vstupy!T47*POWER($F$5/50,vstupy!T55))*$I$5,0)</f>
        <v>1003</v>
      </c>
      <c r="AV34" s="75"/>
      <c r="AW34" s="76"/>
      <c r="AX34" s="76"/>
      <c r="AY34" s="76"/>
      <c r="AZ34" s="77"/>
      <c r="BA34" s="10">
        <v>600</v>
      </c>
    </row>
    <row r="35" spans="2:53" ht="13.5" customHeight="1" thickBot="1" x14ac:dyDescent="0.3">
      <c r="B35" s="11">
        <v>750</v>
      </c>
      <c r="C35" s="4">
        <f>ROUND((((($C$5-$D$5)/(LN(($C$5-$E$5)/($D$5-$E$5))))/49.8328865456397)^vstupy!C56)*vstupy!C48*$I$5,0)</f>
        <v>400</v>
      </c>
      <c r="D35" s="5">
        <f>ROUND((((($C$5-$D$5)/(LN(($C$5-$E$5)/($D$5-$E$5))))/49.8328865456397)^vstupy!D56)*vstupy!D48*$I$5,0)</f>
        <v>522</v>
      </c>
      <c r="E35" s="5">
        <f>ROUND((((($C$5-$D$5)/(LN(($C$5-$E$5)/($D$5-$E$5))))/49.8328865456397)^vstupy!E56)*vstupy!E48*$I$5,0)</f>
        <v>726</v>
      </c>
      <c r="F35" s="5">
        <f>ROUND((((($C$5-$D$5)/(LN(($C$5-$E$5)/($D$5-$E$5))))/49.8328865456397)^vstupy!F56)*vstupy!F48*$I$5,0)</f>
        <v>913</v>
      </c>
      <c r="G35" s="6">
        <f>ROUND((((($C$5-$D$5)/(LN(($C$5-$E$5)/($D$5-$E$5))))/49.8328865456397)^vstupy!G56)*vstupy!G48*$I$5,0)</f>
        <v>1138</v>
      </c>
      <c r="H35" s="4">
        <f>ROUND((((($C$5-$D$5)/(LN(($C$5-$E$5)/($D$5-$E$5))))/49.8328865456397)^vstupy!H56)*vstupy!H48*$I$5,0)</f>
        <v>400</v>
      </c>
      <c r="I35" s="5">
        <f>ROUND((((($C$5-$D$5)/(LN(($C$5-$E$5)/($D$5-$E$5))))/49.8328865456397)^vstupy!I56)*vstupy!I48*$I$5,0)</f>
        <v>522</v>
      </c>
      <c r="J35" s="5">
        <f>ROUND((((($C$5-$D$5)/(LN(($C$5-$E$5)/($D$5-$E$5))))/49.8328865456397)^vstupy!J56)*vstupy!J48*$I$5,0)</f>
        <v>726</v>
      </c>
      <c r="K35" s="5">
        <f>ROUND((((($C$5-$D$5)/(LN(($C$5-$E$5)/($D$5-$E$5))))/49.8328865456397)^vstupy!K56)*vstupy!K48*$I$5,0)</f>
        <v>913</v>
      </c>
      <c r="L35" s="6">
        <f>ROUND((((($C$5-$D$5)/(LN(($C$5-$E$5)/($D$5-$E$5))))/49.8328865456397)^vstupy!L56)*vstupy!L48*$I$5,0)</f>
        <v>1138</v>
      </c>
      <c r="M35" s="11">
        <v>750</v>
      </c>
      <c r="O35" s="11">
        <v>750</v>
      </c>
      <c r="P35" s="4">
        <f>ROUND((((($C$5-$D$5)/(LN(($C$5-$E$5)/($D$5-$E$5))))/49.8328865456397)^vstupy!P56)*vstupy!P48*$I$5,0)</f>
        <v>449</v>
      </c>
      <c r="Q35" s="5">
        <f>ROUND((((($C$5-$D$5)/(LN(($C$5-$E$5)/($D$5-$E$5))))/49.8328865456397)^vstupy!Q56)*vstupy!Q48*$I$5,0)</f>
        <v>583</v>
      </c>
      <c r="R35" s="5">
        <f>ROUND((((($C$5-$D$5)/(LN(($C$5-$E$5)/($D$5-$E$5))))/49.8328865456397)^vstupy!R56)*vstupy!R48*$I$5,0)</f>
        <v>799</v>
      </c>
      <c r="S35" s="5">
        <f>ROUND((((($C$5-$D$5)/(LN(($C$5-$E$5)/($D$5-$E$5))))/49.8328865456397)^vstupy!S56)*vstupy!S48*$I$5,0)</f>
        <v>991</v>
      </c>
      <c r="T35" s="6">
        <f>ROUND((((($C$5-$D$5)/(LN(($C$5-$E$5)/($D$5-$E$5))))/49.8328865456397)^vstupy!T56)*vstupy!T48*$I$5,0)</f>
        <v>1211</v>
      </c>
      <c r="U35" s="78"/>
      <c r="V35" s="79"/>
      <c r="W35" s="79"/>
      <c r="X35" s="79"/>
      <c r="Y35" s="80"/>
      <c r="Z35" s="11">
        <v>750</v>
      </c>
      <c r="AC35" s="11">
        <v>750</v>
      </c>
      <c r="AD35" s="4">
        <f>ROUND((vstupy!C48*POWER($F$5/50,vstupy!C56))*$I$5,0)</f>
        <v>400</v>
      </c>
      <c r="AE35" s="5">
        <f>ROUND((vstupy!D48*POWER($F$5/50,vstupy!D56))*$I$5,0)</f>
        <v>522</v>
      </c>
      <c r="AF35" s="5">
        <f>ROUND((vstupy!E48*POWER($F$5/50,vstupy!E56))*$I$5,0)</f>
        <v>726</v>
      </c>
      <c r="AG35" s="5">
        <f>ROUND((vstupy!F48*POWER($F$5/50,vstupy!F56))*$I$5,0)</f>
        <v>913</v>
      </c>
      <c r="AH35" s="6">
        <f>ROUND((vstupy!G48*POWER($F$5/50,vstupy!G56))*$I$5,0)</f>
        <v>1138</v>
      </c>
      <c r="AI35" s="4">
        <f>ROUND((vstupy!H48*POWER($F$5/50,vstupy!H56))*$I$5,0)</f>
        <v>400</v>
      </c>
      <c r="AJ35" s="5">
        <f>ROUND((vstupy!I48*POWER($F$5/50,vstupy!I56))*$I$5,0)</f>
        <v>522</v>
      </c>
      <c r="AK35" s="5">
        <f>ROUND((vstupy!J48*POWER($F$5/50,vstupy!J56))*$I$5,0)</f>
        <v>726</v>
      </c>
      <c r="AL35" s="5">
        <f>ROUND((vstupy!K48*POWER($F$5/50,vstupy!K56))*$I$5,0)</f>
        <v>913</v>
      </c>
      <c r="AM35" s="6">
        <f>ROUND((vstupy!L48*POWER($F$5/50,vstupy!L56))*$I$5,0)</f>
        <v>1138</v>
      </c>
      <c r="AN35" s="11">
        <v>750</v>
      </c>
      <c r="AP35" s="11">
        <v>750</v>
      </c>
      <c r="AQ35" s="4">
        <f>ROUND((vstupy!P48*POWER($F$5/50,vstupy!P56))*$I$5,0)</f>
        <v>449</v>
      </c>
      <c r="AR35" s="5">
        <f>ROUND((vstupy!Q48*POWER($F$5/50,vstupy!Q56))*$I$5,0)</f>
        <v>583</v>
      </c>
      <c r="AS35" s="5">
        <f>ROUND((vstupy!R48*POWER($F$5/50,vstupy!R56))*$I$5,0)</f>
        <v>799</v>
      </c>
      <c r="AT35" s="5">
        <f>ROUND((vstupy!S48*POWER($F$5/50,vstupy!S56))*$I$5,0)</f>
        <v>991</v>
      </c>
      <c r="AU35" s="6">
        <f>ROUND((vstupy!T48*POWER($F$5/50,vstupy!T56))*$I$5,0)</f>
        <v>1211</v>
      </c>
      <c r="AV35" s="78"/>
      <c r="AW35" s="79"/>
      <c r="AX35" s="79"/>
      <c r="AY35" s="79"/>
      <c r="AZ35" s="80"/>
      <c r="BA35" s="11">
        <v>750</v>
      </c>
    </row>
    <row r="36" spans="2:53" ht="13.5" customHeight="1" thickBot="1" x14ac:dyDescent="0.3"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O36" s="177"/>
      <c r="P36" s="177"/>
      <c r="Q36" s="177"/>
      <c r="R36" s="177"/>
      <c r="S36" s="177"/>
      <c r="T36" s="177"/>
      <c r="U36" s="177"/>
      <c r="V36" s="177"/>
      <c r="W36" s="177"/>
      <c r="X36" s="177"/>
      <c r="Y36" s="177"/>
      <c r="Z36" s="177"/>
      <c r="AC36" s="177"/>
      <c r="AD36" s="177"/>
      <c r="AE36" s="177"/>
      <c r="AF36" s="177"/>
      <c r="AG36" s="177"/>
      <c r="AH36" s="177"/>
      <c r="AI36" s="177"/>
      <c r="AJ36" s="177"/>
      <c r="AK36" s="177"/>
      <c r="AL36" s="177"/>
      <c r="AM36" s="177"/>
      <c r="AN36" s="177"/>
      <c r="AP36" s="177"/>
      <c r="AQ36" s="177"/>
      <c r="AR36" s="177"/>
      <c r="AS36" s="177"/>
      <c r="AT36" s="177"/>
      <c r="AU36" s="177"/>
      <c r="AV36" s="177"/>
      <c r="AW36" s="177"/>
      <c r="AX36" s="177"/>
      <c r="AY36" s="177"/>
      <c r="AZ36" s="177"/>
      <c r="BA36" s="177"/>
    </row>
    <row r="37" spans="2:53" ht="15" customHeight="1" thickBot="1" x14ac:dyDescent="0.3">
      <c r="B37" s="34"/>
      <c r="C37" s="41" t="s">
        <v>20</v>
      </c>
      <c r="D37" s="42"/>
      <c r="E37" s="42"/>
      <c r="F37" s="43"/>
      <c r="G37" s="34"/>
      <c r="M37" s="34"/>
      <c r="O37" s="34"/>
      <c r="P37" s="41" t="s">
        <v>20</v>
      </c>
      <c r="Q37" s="42"/>
      <c r="R37" s="42"/>
      <c r="S37" s="43"/>
      <c r="T37" s="34"/>
      <c r="Z37" s="34"/>
      <c r="AC37" s="34"/>
      <c r="AD37" s="41" t="s">
        <v>20</v>
      </c>
      <c r="AE37" s="42"/>
      <c r="AF37" s="42"/>
      <c r="AG37" s="43"/>
      <c r="AH37" s="34"/>
      <c r="AN37" s="34"/>
      <c r="AP37" s="34"/>
      <c r="AQ37" s="41" t="s">
        <v>20</v>
      </c>
      <c r="AR37" s="42"/>
      <c r="AS37" s="42"/>
      <c r="AT37" s="43"/>
      <c r="AU37" s="34"/>
      <c r="BA37" s="34"/>
    </row>
    <row r="38" spans="2:53" ht="15" customHeight="1" thickBot="1" x14ac:dyDescent="0.3">
      <c r="B38" s="7" t="s">
        <v>9</v>
      </c>
      <c r="C38" s="44" t="s">
        <v>10</v>
      </c>
      <c r="D38" s="45"/>
      <c r="E38" s="45"/>
      <c r="F38" s="46"/>
      <c r="G38" s="34"/>
      <c r="H38" s="34"/>
      <c r="I38" s="41" t="s">
        <v>609</v>
      </c>
      <c r="J38" s="42"/>
      <c r="K38" s="43"/>
      <c r="M38" s="34"/>
      <c r="O38" s="7" t="s">
        <v>9</v>
      </c>
      <c r="P38" s="44" t="s">
        <v>10</v>
      </c>
      <c r="Q38" s="45"/>
      <c r="R38" s="45"/>
      <c r="S38" s="46"/>
      <c r="T38" s="34"/>
      <c r="U38" s="34"/>
      <c r="V38" s="41" t="s">
        <v>609</v>
      </c>
      <c r="W38" s="42"/>
      <c r="X38" s="43"/>
      <c r="Z38" s="34"/>
      <c r="AC38" s="7" t="s">
        <v>9</v>
      </c>
      <c r="AD38" s="44" t="s">
        <v>10</v>
      </c>
      <c r="AE38" s="45"/>
      <c r="AF38" s="45"/>
      <c r="AG38" s="46"/>
      <c r="AH38" s="34"/>
      <c r="AI38" s="34"/>
      <c r="AJ38" s="41" t="s">
        <v>609</v>
      </c>
      <c r="AK38" s="42"/>
      <c r="AL38" s="43"/>
      <c r="AN38" s="34"/>
      <c r="AP38" s="7" t="s">
        <v>9</v>
      </c>
      <c r="AQ38" s="44" t="s">
        <v>10</v>
      </c>
      <c r="AR38" s="45"/>
      <c r="AS38" s="45"/>
      <c r="AT38" s="46"/>
      <c r="AU38" s="34"/>
      <c r="AV38" s="34"/>
      <c r="AW38" s="41" t="s">
        <v>609</v>
      </c>
      <c r="AX38" s="42"/>
      <c r="AY38" s="43"/>
      <c r="BA38" s="34"/>
    </row>
    <row r="39" spans="2:53" ht="15" customHeight="1" thickBot="1" x14ac:dyDescent="0.3">
      <c r="B39" s="8" t="s">
        <v>11</v>
      </c>
      <c r="C39" s="15">
        <v>700</v>
      </c>
      <c r="D39" s="16">
        <v>900</v>
      </c>
      <c r="E39" s="16">
        <v>1220</v>
      </c>
      <c r="F39" s="17">
        <v>1500</v>
      </c>
      <c r="G39" s="34"/>
      <c r="H39" s="7" t="s">
        <v>9</v>
      </c>
      <c r="I39" s="44" t="s">
        <v>10</v>
      </c>
      <c r="J39" s="45"/>
      <c r="K39" s="46"/>
      <c r="M39" s="34"/>
      <c r="O39" s="8" t="s">
        <v>11</v>
      </c>
      <c r="P39" s="15">
        <v>700</v>
      </c>
      <c r="Q39" s="16">
        <v>900</v>
      </c>
      <c r="R39" s="16">
        <v>1220</v>
      </c>
      <c r="S39" s="17">
        <v>1500</v>
      </c>
      <c r="T39" s="34"/>
      <c r="U39" s="7" t="s">
        <v>9</v>
      </c>
      <c r="V39" s="44" t="s">
        <v>10</v>
      </c>
      <c r="W39" s="45"/>
      <c r="X39" s="46"/>
      <c r="Z39" s="34"/>
      <c r="AC39" s="8" t="s">
        <v>11</v>
      </c>
      <c r="AD39" s="15">
        <v>700</v>
      </c>
      <c r="AE39" s="16">
        <v>900</v>
      </c>
      <c r="AF39" s="16">
        <v>1220</v>
      </c>
      <c r="AG39" s="17">
        <v>1500</v>
      </c>
      <c r="AH39" s="34"/>
      <c r="AI39" s="7" t="s">
        <v>9</v>
      </c>
      <c r="AJ39" s="44" t="s">
        <v>10</v>
      </c>
      <c r="AK39" s="45"/>
      <c r="AL39" s="46"/>
      <c r="AN39" s="34"/>
      <c r="AP39" s="8" t="s">
        <v>11</v>
      </c>
      <c r="AQ39" s="15">
        <v>700</v>
      </c>
      <c r="AR39" s="16">
        <v>900</v>
      </c>
      <c r="AS39" s="16">
        <v>1220</v>
      </c>
      <c r="AT39" s="17">
        <v>1500</v>
      </c>
      <c r="AU39" s="34"/>
      <c r="AV39" s="7" t="s">
        <v>9</v>
      </c>
      <c r="AW39" s="44" t="s">
        <v>10</v>
      </c>
      <c r="AX39" s="45"/>
      <c r="AY39" s="46"/>
      <c r="BA39" s="34"/>
    </row>
    <row r="40" spans="2:53" ht="13.5" customHeight="1" thickBot="1" x14ac:dyDescent="0.3">
      <c r="B40" s="9">
        <v>400</v>
      </c>
      <c r="C40" s="12">
        <f>ROUND((((($C$5-$D$5)/(LN(($C$5-$E$5)/($D$5-$E$5))))/49.8328865456397)^vstupy!C68)*vstupy!C61*$I$5,0)</f>
        <v>198</v>
      </c>
      <c r="D40" s="13">
        <f>ROUND((((($C$5-$D$5)/(LN(($C$5-$E$5)/($D$5-$E$5))))/49.8328865456397)^vstupy!D68)*vstupy!D61*$I$5,0)</f>
        <v>254</v>
      </c>
      <c r="E40" s="13">
        <f>ROUND((((($C$5-$D$5)/(LN(($C$5-$E$5)/($D$5-$E$5))))/49.8328865456397)^vstupy!E68)*vstupy!E61*$I$5,0)</f>
        <v>345</v>
      </c>
      <c r="F40" s="14">
        <f>ROUND((((($C$5-$D$5)/(LN(($C$5-$E$5)/($D$5-$E$5))))/49.8328865456397)^vstupy!F68)*vstupy!F61*$I$5,0)</f>
        <v>427</v>
      </c>
      <c r="G40" s="34"/>
      <c r="H40" s="8" t="s">
        <v>11</v>
      </c>
      <c r="I40" s="15">
        <v>1100</v>
      </c>
      <c r="J40" s="16">
        <v>1420</v>
      </c>
      <c r="K40" s="17">
        <v>1700</v>
      </c>
      <c r="M40" s="34"/>
      <c r="O40" s="9">
        <v>400</v>
      </c>
      <c r="P40" s="12">
        <f>ROUND((((($C$5-$D$5)/(LN(($C$5-$E$5)/($D$5-$E$5))))/49.8328865456397)^vstupy!P68)*vstupy!P61*$I$5,0)</f>
        <v>213</v>
      </c>
      <c r="Q40" s="13">
        <f>ROUND((((($C$5-$D$5)/(LN(($C$5-$E$5)/($D$5-$E$5))))/49.8328865456397)^vstupy!Q68)*vstupy!Q61*$I$5,0)</f>
        <v>275</v>
      </c>
      <c r="R40" s="13">
        <f>ROUND((((($C$5-$D$5)/(LN(($C$5-$E$5)/($D$5-$E$5))))/49.8328865456397)^vstupy!R68)*vstupy!R61*$I$5,0)</f>
        <v>373</v>
      </c>
      <c r="S40" s="14">
        <f>ROUND((((($C$5-$D$5)/(LN(($C$5-$E$5)/($D$5-$E$5))))/49.8328865456397)^vstupy!S68)*vstupy!S61*$I$5,0)</f>
        <v>458</v>
      </c>
      <c r="T40" s="34"/>
      <c r="U40" s="8" t="s">
        <v>11</v>
      </c>
      <c r="V40" s="15">
        <v>1095</v>
      </c>
      <c r="W40" s="16">
        <v>1415</v>
      </c>
      <c r="X40" s="17">
        <v>1695</v>
      </c>
      <c r="Z40" s="34"/>
      <c r="AC40" s="9">
        <v>400</v>
      </c>
      <c r="AD40" s="12">
        <f>ROUND((vstupy!C61*POWER($F$5/50,vstupy!C68))*$I$5,0)</f>
        <v>198</v>
      </c>
      <c r="AE40" s="13">
        <f>ROUND((vstupy!D61*POWER($F$5/50,vstupy!D68))*$I$5,0)</f>
        <v>254</v>
      </c>
      <c r="AF40" s="13">
        <f>ROUND((vstupy!E61*POWER($F$5/50,vstupy!E68))*$I$5,0)</f>
        <v>345</v>
      </c>
      <c r="AG40" s="14">
        <f>ROUND((vstupy!F61*POWER($F$5/50,vstupy!F68))*$I$5,0)</f>
        <v>427</v>
      </c>
      <c r="AH40" s="34"/>
      <c r="AI40" s="8" t="s">
        <v>11</v>
      </c>
      <c r="AJ40" s="15">
        <v>1100</v>
      </c>
      <c r="AK40" s="16">
        <v>1420</v>
      </c>
      <c r="AL40" s="17">
        <v>1700</v>
      </c>
      <c r="AN40" s="34"/>
      <c r="AP40" s="9">
        <v>400</v>
      </c>
      <c r="AQ40" s="12">
        <f>ROUND((vstupy!P61*POWER($F$5/50,vstupy!P68))*$I$5,0)</f>
        <v>213</v>
      </c>
      <c r="AR40" s="13">
        <f>ROUND((vstupy!Q61*POWER($F$5/50,vstupy!Q68))*$I$5,0)</f>
        <v>275</v>
      </c>
      <c r="AS40" s="13">
        <f>ROUND((vstupy!R61*POWER($F$5/50,vstupy!R68))*$I$5,0)</f>
        <v>373</v>
      </c>
      <c r="AT40" s="14">
        <f>ROUND((vstupy!S61*POWER($F$5/50,vstupy!S68))*$I$5,0)</f>
        <v>458</v>
      </c>
      <c r="AU40" s="34"/>
      <c r="AV40" s="8" t="s">
        <v>11</v>
      </c>
      <c r="AW40" s="15">
        <v>1095</v>
      </c>
      <c r="AX40" s="16">
        <v>1415</v>
      </c>
      <c r="AY40" s="17">
        <v>1695</v>
      </c>
      <c r="BA40" s="34"/>
    </row>
    <row r="41" spans="2:53" ht="13.5" customHeight="1" x14ac:dyDescent="0.25">
      <c r="B41" s="10">
        <v>500</v>
      </c>
      <c r="C41" s="2">
        <f>ROUND((((($C$5-$D$5)/(LN(($C$5-$E$5)/($D$5-$E$5))))/49.8328865456397)^vstupy!C69)*vstupy!C62*$I$5,0)</f>
        <v>231</v>
      </c>
      <c r="D41" s="1">
        <f>ROUND((((($C$5-$D$5)/(LN(($C$5-$E$5)/($D$5-$E$5))))/49.8328865456397)^vstupy!D69)*vstupy!D62*$I$5,0)</f>
        <v>297</v>
      </c>
      <c r="E41" s="1">
        <f>ROUND((((($C$5-$D$5)/(LN(($C$5-$E$5)/($D$5-$E$5))))/49.8328865456397)^vstupy!E69)*vstupy!E62*$I$5,0)</f>
        <v>403</v>
      </c>
      <c r="F41" s="3">
        <f>ROUND((((($C$5-$D$5)/(LN(($C$5-$E$5)/($D$5-$E$5))))/49.8328865456397)^vstupy!F69)*vstupy!F62*$I$5,0)</f>
        <v>499</v>
      </c>
      <c r="G41" s="34"/>
      <c r="H41" s="9">
        <v>500</v>
      </c>
      <c r="I41" s="81">
        <f>ROUND((((($C$5-$D$5)/(LN(($C$5-$E$5)/($D$5-$E$5))))/49.8328865456397)^vstupy!C155)*vstupy!C149*$I$5,0)</f>
        <v>520</v>
      </c>
      <c r="J41" s="82">
        <f>ROUND((((($C$5-$D$5)/(LN(($C$5-$E$5)/($D$5-$E$5))))/49.8328865456397)^vstupy!D155)*vstupy!D149*$I$5,0)</f>
        <v>670</v>
      </c>
      <c r="K41" s="83">
        <f>ROUND((((($C$5-$D$5)/(LN(($C$5-$E$5)/($D$5-$E$5))))/49.8328865456397)^vstupy!E155)*vstupy!E149*$I$5,0)</f>
        <v>803</v>
      </c>
      <c r="M41" s="34"/>
      <c r="O41" s="10">
        <v>500</v>
      </c>
      <c r="P41" s="2">
        <f>ROUND((((($C$5-$D$5)/(LN(($C$5-$E$5)/($D$5-$E$5))))/49.8328865456397)^vstupy!P69)*vstupy!P62*$I$5,0)</f>
        <v>249</v>
      </c>
      <c r="Q41" s="1">
        <f>ROUND((((($C$5-$D$5)/(LN(($C$5-$E$5)/($D$5-$E$5))))/49.8328865456397)^vstupy!Q69)*vstupy!Q62*$I$5,0)</f>
        <v>322</v>
      </c>
      <c r="R41" s="1">
        <f>ROUND((((($C$5-$D$5)/(LN(($C$5-$E$5)/($D$5-$E$5))))/49.8328865456397)^vstupy!R69)*vstupy!R62*$I$5,0)</f>
        <v>436</v>
      </c>
      <c r="S41" s="3">
        <f>ROUND((((($C$5-$D$5)/(LN(($C$5-$E$5)/($D$5-$E$5))))/49.8328865456397)^vstupy!S69)*vstupy!S62*$I$5,0)</f>
        <v>536</v>
      </c>
      <c r="T41" s="34"/>
      <c r="U41" s="9">
        <v>500</v>
      </c>
      <c r="V41" s="76"/>
      <c r="W41" s="76"/>
      <c r="X41" s="77"/>
      <c r="Z41" s="34"/>
      <c r="AC41" s="10">
        <v>500</v>
      </c>
      <c r="AD41" s="2">
        <f>ROUND((vstupy!C62*POWER($F$5/50,vstupy!C69))*$I$5,0)</f>
        <v>231</v>
      </c>
      <c r="AE41" s="1">
        <f>ROUND((vstupy!D62*POWER($F$5/50,vstupy!D69))*$I$5,0)</f>
        <v>297</v>
      </c>
      <c r="AF41" s="1">
        <f>ROUND((vstupy!E62*POWER($F$5/50,vstupy!E69))*$I$5,0)</f>
        <v>403</v>
      </c>
      <c r="AG41" s="3">
        <f>ROUND((vstupy!F62*POWER($F$5/50,vstupy!F69))*$I$5,0)</f>
        <v>499</v>
      </c>
      <c r="AH41" s="34"/>
      <c r="AI41" s="9">
        <v>500</v>
      </c>
      <c r="AJ41" s="81">
        <f>ROUND((vstupy!C149*POWER($F$5/50,vstupy!C155))*$I$5,0)</f>
        <v>520</v>
      </c>
      <c r="AK41" s="82">
        <f>ROUND((vstupy!D149*POWER($F$5/50,vstupy!D155))*$I$5,0)</f>
        <v>670</v>
      </c>
      <c r="AL41" s="83">
        <f>ROUND((vstupy!E149*POWER($F$5/50,vstupy!E155))*$I$5,0)</f>
        <v>803</v>
      </c>
      <c r="AN41" s="34"/>
      <c r="AP41" s="10">
        <v>500</v>
      </c>
      <c r="AQ41" s="2">
        <f>ROUND((vstupy!P62*POWER($F$5/50,vstupy!P69))*$I$5,0)</f>
        <v>249</v>
      </c>
      <c r="AR41" s="1">
        <f>ROUND((vstupy!Q62*POWER($F$5/50,vstupy!Q69))*$I$5,0)</f>
        <v>322</v>
      </c>
      <c r="AS41" s="1">
        <f>ROUND((vstupy!R62*POWER($F$5/50,vstupy!R69))*$I$5,0)</f>
        <v>436</v>
      </c>
      <c r="AT41" s="3">
        <f>ROUND((vstupy!S62*POWER($F$5/50,vstupy!S69))*$I$5,0)</f>
        <v>536</v>
      </c>
      <c r="AU41" s="34"/>
      <c r="AV41" s="9">
        <v>500</v>
      </c>
      <c r="AW41" s="76"/>
      <c r="AX41" s="76"/>
      <c r="AY41" s="77"/>
      <c r="BA41" s="34"/>
    </row>
    <row r="42" spans="2:53" ht="13.5" customHeight="1" thickBot="1" x14ac:dyDescent="0.3">
      <c r="B42" s="11">
        <v>600</v>
      </c>
      <c r="C42" s="4">
        <f>ROUND((((($C$5-$D$5)/(LN(($C$5-$E$5)/($D$5-$E$5))))/49.8328865456397)^vstupy!C70)*vstupy!C63*$I$5,0)</f>
        <v>263</v>
      </c>
      <c r="D42" s="5">
        <f>ROUND((((($C$5-$D$5)/(LN(($C$5-$E$5)/($D$5-$E$5))))/49.8328865456397)^vstupy!D70)*vstupy!D63*$I$5,0)</f>
        <v>337</v>
      </c>
      <c r="E42" s="5">
        <f>ROUND((((($C$5-$D$5)/(LN(($C$5-$E$5)/($D$5-$E$5))))/49.8328865456397)^vstupy!E70)*vstupy!E63*$I$5,0)</f>
        <v>458</v>
      </c>
      <c r="F42" s="6">
        <f>ROUND((((($C$5-$D$5)/(LN(($C$5-$E$5)/($D$5-$E$5))))/49.8328865456397)^vstupy!F70)*vstupy!F63*$I$5,0)</f>
        <v>567</v>
      </c>
      <c r="G42" s="34"/>
      <c r="H42" s="11">
        <v>600</v>
      </c>
      <c r="I42" s="4">
        <f>ROUND((((($C$5-$D$5)/(LN(($C$5-$E$5)/($D$5-$E$5))))/49.8328865456397)^vstupy!C156)*vstupy!C150*$I$5,0)</f>
        <v>593</v>
      </c>
      <c r="J42" s="5">
        <f>ROUND((((($C$5-$D$5)/(LN(($C$5-$E$5)/($D$5-$E$5))))/49.8328865456397)^vstupy!D156)*vstupy!D150*$I$5,0)</f>
        <v>763</v>
      </c>
      <c r="K42" s="6">
        <f>ROUND((((($C$5-$D$5)/(LN(($C$5-$E$5)/($D$5-$E$5))))/49.8328865456397)^vstupy!E156)*vstupy!E150*$I$5,0)</f>
        <v>914</v>
      </c>
      <c r="M42" s="34"/>
      <c r="O42" s="11">
        <v>600</v>
      </c>
      <c r="P42" s="4">
        <f>ROUND((((($C$5-$D$5)/(LN(($C$5-$E$5)/($D$5-$E$5))))/49.8328865456397)^vstupy!P70)*vstupy!P63*$I$5,0)</f>
        <v>283</v>
      </c>
      <c r="Q42" s="5">
        <f>ROUND((((($C$5-$D$5)/(LN(($C$5-$E$5)/($D$5-$E$5))))/49.8328865456397)^vstupy!Q70)*vstupy!Q63*$I$5,0)</f>
        <v>365</v>
      </c>
      <c r="R42" s="5">
        <f>ROUND((((($C$5-$D$5)/(LN(($C$5-$E$5)/($D$5-$E$5))))/49.8328865456397)^vstupy!R70)*vstupy!R63*$I$5,0)</f>
        <v>496</v>
      </c>
      <c r="S42" s="6">
        <f>ROUND((((($C$5-$D$5)/(LN(($C$5-$E$5)/($D$5-$E$5))))/49.8328865456397)^vstupy!S70)*vstupy!S63*$I$5,0)</f>
        <v>609</v>
      </c>
      <c r="T42" s="34"/>
      <c r="U42" s="11">
        <v>600</v>
      </c>
      <c r="V42" s="79"/>
      <c r="W42" s="79"/>
      <c r="X42" s="80"/>
      <c r="Z42" s="34"/>
      <c r="AC42" s="11">
        <v>600</v>
      </c>
      <c r="AD42" s="4">
        <f>ROUND((vstupy!C63*POWER($F$5/50,vstupy!C70))*$I$5,0)</f>
        <v>263</v>
      </c>
      <c r="AE42" s="5">
        <f>ROUND((vstupy!D63*POWER($F$5/50,vstupy!D70))*$I$5,0)</f>
        <v>337</v>
      </c>
      <c r="AF42" s="5">
        <f>ROUND((vstupy!E63*POWER($F$5/50,vstupy!E70))*$I$5,0)</f>
        <v>458</v>
      </c>
      <c r="AG42" s="6">
        <f>ROUND((vstupy!F63*POWER($F$5/50,vstupy!F70))*$I$5,0)</f>
        <v>567</v>
      </c>
      <c r="AH42" s="34"/>
      <c r="AI42" s="11">
        <v>600</v>
      </c>
      <c r="AJ42" s="4">
        <f>ROUND((vstupy!C150*POWER($F$5/50,vstupy!C156))*$I$5,0)</f>
        <v>593</v>
      </c>
      <c r="AK42" s="5">
        <f>ROUND((vstupy!D150*POWER($F$5/50,vstupy!D156))*$I$5,0)</f>
        <v>763</v>
      </c>
      <c r="AL42" s="6">
        <f>ROUND((vstupy!E150*POWER($F$5/50,vstupy!E156))*$I$5,0)</f>
        <v>914</v>
      </c>
      <c r="AN42" s="34"/>
      <c r="AP42" s="11">
        <v>600</v>
      </c>
      <c r="AQ42" s="4">
        <f>ROUND((vstupy!P63*POWER($F$5/50,vstupy!P70))*$I$5,0)</f>
        <v>283</v>
      </c>
      <c r="AR42" s="5">
        <f>ROUND((vstupy!Q63*POWER($F$5/50,vstupy!Q70))*$I$5,0)</f>
        <v>365</v>
      </c>
      <c r="AS42" s="5">
        <f>ROUND((vstupy!R63*POWER($F$5/50,vstupy!R70))*$I$5,0)</f>
        <v>496</v>
      </c>
      <c r="AT42" s="6">
        <f>ROUND((vstupy!S63*POWER($F$5/50,vstupy!S70))*$I$5,0)</f>
        <v>609</v>
      </c>
      <c r="AU42" s="34"/>
      <c r="AV42" s="11">
        <v>600</v>
      </c>
      <c r="AW42" s="79"/>
      <c r="AX42" s="79"/>
      <c r="AY42" s="80"/>
      <c r="BA42" s="34"/>
    </row>
    <row r="43" spans="2:53" ht="13.5" customHeight="1" thickBot="1" x14ac:dyDescent="0.3">
      <c r="B43" s="177"/>
      <c r="C43" s="177"/>
      <c r="D43" s="177"/>
      <c r="E43" s="177"/>
      <c r="F43" s="177"/>
      <c r="G43" s="34"/>
      <c r="M43" s="34"/>
      <c r="O43" s="177"/>
      <c r="P43" s="177"/>
      <c r="Q43" s="177"/>
      <c r="R43" s="177"/>
      <c r="S43" s="177"/>
      <c r="T43" s="34"/>
      <c r="Z43" s="34"/>
      <c r="AC43" s="177"/>
      <c r="AD43" s="177"/>
      <c r="AE43" s="177"/>
      <c r="AF43" s="177"/>
      <c r="AG43" s="177"/>
      <c r="AH43" s="34"/>
      <c r="AN43" s="34"/>
      <c r="AP43" s="177"/>
      <c r="AQ43" s="177"/>
      <c r="AR43" s="177"/>
      <c r="AS43" s="177"/>
      <c r="AT43" s="177"/>
      <c r="AU43" s="34"/>
      <c r="BA43" s="34"/>
    </row>
    <row r="44" spans="2:53" ht="15.75" thickBot="1" x14ac:dyDescent="0.3">
      <c r="B44" s="34"/>
      <c r="C44" s="41" t="s">
        <v>270</v>
      </c>
      <c r="D44" s="42"/>
      <c r="E44" s="42"/>
      <c r="F44" s="43"/>
      <c r="G44" s="34"/>
      <c r="H44" s="34"/>
      <c r="I44" s="34"/>
      <c r="J44" s="34"/>
      <c r="K44" s="34"/>
      <c r="L44" s="34"/>
      <c r="M44" s="34"/>
      <c r="O44" s="34"/>
      <c r="P44" s="41" t="s">
        <v>270</v>
      </c>
      <c r="Q44" s="42"/>
      <c r="R44" s="42"/>
      <c r="S44" s="43"/>
      <c r="T44" s="34"/>
      <c r="U44" s="34"/>
      <c r="V44" s="34"/>
      <c r="W44" s="34"/>
      <c r="X44" s="34"/>
      <c r="Y44" s="34"/>
      <c r="Z44" s="34"/>
      <c r="AC44" s="34"/>
      <c r="AD44" s="41" t="s">
        <v>270</v>
      </c>
      <c r="AE44" s="42"/>
      <c r="AF44" s="42"/>
      <c r="AG44" s="43"/>
      <c r="AH44" s="34"/>
      <c r="AI44" s="34"/>
      <c r="AJ44" s="34"/>
      <c r="AK44" s="34"/>
      <c r="AL44" s="34"/>
      <c r="AM44" s="34"/>
      <c r="AN44" s="34"/>
      <c r="AP44" s="34"/>
      <c r="AQ44" s="41" t="s">
        <v>270</v>
      </c>
      <c r="AR44" s="42"/>
      <c r="AS44" s="42"/>
      <c r="AT44" s="43"/>
      <c r="AU44" s="34"/>
      <c r="AV44" s="34"/>
      <c r="AW44" s="34"/>
      <c r="AX44" s="34"/>
      <c r="AY44" s="34"/>
      <c r="AZ44" s="34"/>
      <c r="BA44" s="34"/>
    </row>
    <row r="45" spans="2:53" x14ac:dyDescent="0.25">
      <c r="B45" s="7" t="s">
        <v>9</v>
      </c>
      <c r="C45" s="44" t="s">
        <v>10</v>
      </c>
      <c r="D45" s="45"/>
      <c r="E45" s="45"/>
      <c r="F45" s="46"/>
      <c r="G45" s="34"/>
      <c r="H45" s="34"/>
      <c r="I45" s="34"/>
      <c r="J45" s="34"/>
      <c r="K45" s="34"/>
      <c r="L45" s="34"/>
      <c r="M45" s="34"/>
      <c r="O45" s="7" t="s">
        <v>9</v>
      </c>
      <c r="P45" s="44" t="s">
        <v>10</v>
      </c>
      <c r="Q45" s="45"/>
      <c r="R45" s="45"/>
      <c r="S45" s="46"/>
      <c r="T45" s="34"/>
      <c r="U45" s="34"/>
      <c r="V45" s="34"/>
      <c r="W45" s="34"/>
      <c r="X45" s="34"/>
      <c r="Y45" s="34"/>
      <c r="Z45" s="34"/>
      <c r="AC45" s="7" t="s">
        <v>9</v>
      </c>
      <c r="AD45" s="44" t="s">
        <v>10</v>
      </c>
      <c r="AE45" s="45"/>
      <c r="AF45" s="45"/>
      <c r="AG45" s="46"/>
      <c r="AH45" s="34"/>
      <c r="AI45" s="34"/>
      <c r="AJ45" s="34"/>
      <c r="AK45" s="34"/>
      <c r="AL45" s="34"/>
      <c r="AM45" s="34"/>
      <c r="AN45" s="34"/>
      <c r="AP45" s="7" t="s">
        <v>9</v>
      </c>
      <c r="AQ45" s="44" t="s">
        <v>10</v>
      </c>
      <c r="AR45" s="45"/>
      <c r="AS45" s="45"/>
      <c r="AT45" s="46"/>
      <c r="AU45" s="34"/>
      <c r="AV45" s="34"/>
      <c r="AW45" s="34"/>
      <c r="AX45" s="34"/>
      <c r="AY45" s="34"/>
      <c r="AZ45" s="34"/>
      <c r="BA45" s="34"/>
    </row>
    <row r="46" spans="2:53" ht="15.75" thickBot="1" x14ac:dyDescent="0.3">
      <c r="B46" s="8" t="s">
        <v>11</v>
      </c>
      <c r="C46" s="15" t="str">
        <f>logic!$L$4</f>
        <v>Длина</v>
      </c>
      <c r="D46" s="16">
        <v>1220</v>
      </c>
      <c r="E46" s="16">
        <v>1500</v>
      </c>
      <c r="F46" s="17">
        <v>1820</v>
      </c>
      <c r="G46" s="34"/>
      <c r="H46" s="34"/>
      <c r="I46" s="34"/>
      <c r="J46" s="34"/>
      <c r="K46" s="34"/>
      <c r="L46" s="34"/>
      <c r="M46" s="34"/>
      <c r="O46" s="8" t="s">
        <v>11</v>
      </c>
      <c r="P46" s="15">
        <v>900</v>
      </c>
      <c r="Q46" s="16">
        <v>1220</v>
      </c>
      <c r="R46" s="16">
        <v>1500</v>
      </c>
      <c r="S46" s="17">
        <v>1820</v>
      </c>
      <c r="T46" s="34"/>
      <c r="U46" s="34"/>
      <c r="V46" s="34"/>
      <c r="W46" s="34"/>
      <c r="X46" s="34"/>
      <c r="Y46" s="34"/>
      <c r="Z46" s="34"/>
      <c r="AC46" s="8" t="s">
        <v>11</v>
      </c>
      <c r="AD46" s="15" t="str">
        <f>logic!$L$4</f>
        <v>Длина</v>
      </c>
      <c r="AE46" s="16">
        <v>1220</v>
      </c>
      <c r="AF46" s="16">
        <v>1500</v>
      </c>
      <c r="AG46" s="17">
        <v>1820</v>
      </c>
      <c r="AH46" s="34"/>
      <c r="AI46" s="34"/>
      <c r="AJ46" s="34"/>
      <c r="AK46" s="34"/>
      <c r="AL46" s="34"/>
      <c r="AM46" s="34"/>
      <c r="AN46" s="34"/>
      <c r="AP46" s="8" t="s">
        <v>11</v>
      </c>
      <c r="AQ46" s="15">
        <v>900</v>
      </c>
      <c r="AR46" s="16">
        <v>1220</v>
      </c>
      <c r="AS46" s="16">
        <v>1500</v>
      </c>
      <c r="AT46" s="17">
        <v>1820</v>
      </c>
      <c r="AU46" s="34"/>
      <c r="AV46" s="34"/>
      <c r="AW46" s="34"/>
      <c r="AX46" s="34"/>
      <c r="AY46" s="34"/>
      <c r="AZ46" s="34"/>
      <c r="BA46" s="34"/>
    </row>
    <row r="47" spans="2:53" x14ac:dyDescent="0.25">
      <c r="B47" s="9">
        <v>450</v>
      </c>
      <c r="C47" s="12">
        <f>ROUND((((($C$5-$D$5)/(LN(($C$5-$E$5)/($D$5-$E$5))))/49.8328865456397)^vstupy!C82)*vstupy!C75*$I$5,0)</f>
        <v>249</v>
      </c>
      <c r="D47" s="13">
        <f>ROUND((((($C$5-$D$5)/(LN(($C$5-$E$5)/($D$5-$E$5))))/49.8328865456397)^vstupy!D82)*vstupy!D75*$I$5,0)</f>
        <v>338</v>
      </c>
      <c r="E47" s="13">
        <f>ROUND((((($C$5-$D$5)/(LN(($C$5-$E$5)/($D$5-$E$5))))/49.8328865456397)^vstupy!E82)*vstupy!E75*$I$5,0)</f>
        <v>419</v>
      </c>
      <c r="F47" s="14">
        <f>ROUND((((($C$5-$D$5)/(LN(($C$5-$E$5)/($D$5-$E$5))))/49.8328865456397)^vstupy!F82)*vstupy!F75*$I$5,0)</f>
        <v>516</v>
      </c>
      <c r="G47" s="34"/>
      <c r="H47" s="34"/>
      <c r="I47" s="34"/>
      <c r="J47" s="34"/>
      <c r="K47" s="34"/>
      <c r="L47" s="34"/>
      <c r="M47" s="34"/>
      <c r="O47" s="9">
        <v>450</v>
      </c>
      <c r="P47" s="72"/>
      <c r="Q47" s="73"/>
      <c r="R47" s="73"/>
      <c r="S47" s="74"/>
      <c r="T47" s="34"/>
      <c r="U47" s="34"/>
      <c r="V47" s="34"/>
      <c r="W47" s="34"/>
      <c r="X47" s="34"/>
      <c r="Y47" s="34"/>
      <c r="Z47" s="34"/>
      <c r="AC47" s="9">
        <v>450</v>
      </c>
      <c r="AD47" s="12">
        <f>ROUND((vstupy!C75*POWER($F$5/50,vstupy!C82))*$I$5,0)</f>
        <v>249</v>
      </c>
      <c r="AE47" s="13">
        <f>ROUND((vstupy!D75*POWER($F$5/50,vstupy!D82))*$I$5,0)</f>
        <v>338</v>
      </c>
      <c r="AF47" s="13">
        <f>ROUND((vstupy!E75*POWER($F$5/50,vstupy!E82))*$I$5,0)</f>
        <v>419</v>
      </c>
      <c r="AG47" s="14">
        <f>ROUND((vstupy!F75*POWER($F$5/50,vstupy!F82))*$I$5,0)</f>
        <v>516</v>
      </c>
      <c r="AH47" s="34"/>
      <c r="AI47" s="34"/>
      <c r="AJ47" s="34"/>
      <c r="AK47" s="34"/>
      <c r="AL47" s="34"/>
      <c r="AM47" s="34"/>
      <c r="AN47" s="34"/>
      <c r="AP47" s="9">
        <v>450</v>
      </c>
      <c r="AQ47" s="72"/>
      <c r="AR47" s="73"/>
      <c r="AS47" s="73"/>
      <c r="AT47" s="74"/>
      <c r="AU47" s="34"/>
      <c r="AV47" s="34"/>
      <c r="AW47" s="34"/>
      <c r="AX47" s="34"/>
      <c r="AY47" s="34"/>
      <c r="AZ47" s="34"/>
      <c r="BA47" s="34"/>
    </row>
    <row r="48" spans="2:53" x14ac:dyDescent="0.25">
      <c r="B48" s="10">
        <v>600</v>
      </c>
      <c r="C48" s="2">
        <f>ROUND((((($C$5-$D$5)/(LN(($C$5-$E$5)/($D$5-$E$5))))/49.8328865456397)^vstupy!C83)*vstupy!C76*$I$5,0)</f>
        <v>319</v>
      </c>
      <c r="D48" s="1">
        <f>ROUND((((($C$5-$D$5)/(LN(($C$5-$E$5)/($D$5-$E$5))))/49.8328865456397)^vstupy!D83)*vstupy!D76*$I$5,0)</f>
        <v>433</v>
      </c>
      <c r="E48" s="1">
        <f>ROUND((((($C$5-$D$5)/(LN(($C$5-$E$5)/($D$5-$E$5))))/49.8328865456397)^vstupy!E83)*vstupy!E76*$I$5,0)</f>
        <v>537</v>
      </c>
      <c r="F48" s="3">
        <f>ROUND((((($C$5-$D$5)/(LN(($C$5-$E$5)/($D$5-$E$5))))/49.8328865456397)^vstupy!F83)*vstupy!F76*$I$5,0)</f>
        <v>662</v>
      </c>
      <c r="G48" s="34"/>
      <c r="H48" s="34"/>
      <c r="I48" s="34"/>
      <c r="J48" s="34"/>
      <c r="K48" s="34"/>
      <c r="L48" s="34"/>
      <c r="M48" s="34"/>
      <c r="O48" s="10">
        <v>600</v>
      </c>
      <c r="P48" s="75"/>
      <c r="Q48" s="76"/>
      <c r="R48" s="76"/>
      <c r="S48" s="77"/>
      <c r="T48" s="34"/>
      <c r="U48" s="34"/>
      <c r="V48" s="34"/>
      <c r="W48" s="34"/>
      <c r="X48" s="34"/>
      <c r="Y48" s="34"/>
      <c r="Z48" s="34"/>
      <c r="AC48" s="10">
        <v>600</v>
      </c>
      <c r="AD48" s="2">
        <f>ROUND((vstupy!C76*POWER($F$5/50,vstupy!C83))*$I$5,0)</f>
        <v>319</v>
      </c>
      <c r="AE48" s="1">
        <f>ROUND((vstupy!D76*POWER($F$5/50,vstupy!D83))*$I$5,0)</f>
        <v>433</v>
      </c>
      <c r="AF48" s="1">
        <f>ROUND((vstupy!E76*POWER($F$5/50,vstupy!E83))*$I$5,0)</f>
        <v>537</v>
      </c>
      <c r="AG48" s="3">
        <f>ROUND((vstupy!F76*POWER($F$5/50,vstupy!F83))*$I$5,0)</f>
        <v>662</v>
      </c>
      <c r="AH48" s="34"/>
      <c r="AI48" s="34"/>
      <c r="AJ48" s="34"/>
      <c r="AK48" s="34"/>
      <c r="AL48" s="34"/>
      <c r="AM48" s="34"/>
      <c r="AN48" s="34"/>
      <c r="AP48" s="10">
        <v>600</v>
      </c>
      <c r="AQ48" s="75"/>
      <c r="AR48" s="76"/>
      <c r="AS48" s="76"/>
      <c r="AT48" s="77"/>
      <c r="AU48" s="34"/>
      <c r="AV48" s="34"/>
      <c r="AW48" s="34"/>
      <c r="AX48" s="34"/>
      <c r="AY48" s="34"/>
      <c r="AZ48" s="34"/>
      <c r="BA48" s="34"/>
    </row>
    <row r="49" spans="2:53" ht="15.75" thickBot="1" x14ac:dyDescent="0.3">
      <c r="B49" s="11">
        <v>750</v>
      </c>
      <c r="C49" s="4">
        <f>ROUND((((($C$5-$D$5)/(LN(($C$5-$E$5)/($D$5-$E$5))))/49.8328865456397)^vstupy!C84)*vstupy!C77*$I$5,0)</f>
        <v>387</v>
      </c>
      <c r="D49" s="5">
        <f>ROUND((((($C$5-$D$5)/(LN(($C$5-$E$5)/($D$5-$E$5))))/49.8328865456397)^vstupy!D84)*vstupy!D77*$I$5,0)</f>
        <v>526</v>
      </c>
      <c r="E49" s="5">
        <f>ROUND((((($C$5-$D$5)/(LN(($C$5-$E$5)/($D$5-$E$5))))/49.8328865456397)^vstupy!E84)*vstupy!E77*$I$5,0)</f>
        <v>652</v>
      </c>
      <c r="F49" s="6">
        <f>ROUND((((($C$5-$D$5)/(LN(($C$5-$E$5)/($D$5-$E$5))))/49.8328865456397)^vstupy!F84)*vstupy!F77*$I$5,0)</f>
        <v>802</v>
      </c>
      <c r="G49" s="34"/>
      <c r="H49" s="34"/>
      <c r="I49" s="34"/>
      <c r="J49" s="34"/>
      <c r="K49" s="34"/>
      <c r="L49" s="34"/>
      <c r="M49" s="34"/>
      <c r="O49" s="11">
        <v>750</v>
      </c>
      <c r="P49" s="78"/>
      <c r="Q49" s="79"/>
      <c r="R49" s="79"/>
      <c r="S49" s="80"/>
      <c r="T49" s="34"/>
      <c r="U49" s="34"/>
      <c r="V49" s="34"/>
      <c r="W49" s="34"/>
      <c r="X49" s="34"/>
      <c r="Y49" s="34"/>
      <c r="Z49" s="34"/>
      <c r="AC49" s="11">
        <v>750</v>
      </c>
      <c r="AD49" s="4">
        <f>ROUND((vstupy!C77*POWER($F$5/50,vstupy!C84))*$I$5,0)</f>
        <v>387</v>
      </c>
      <c r="AE49" s="5">
        <f>ROUND((vstupy!D77*POWER($F$5/50,vstupy!D84))*$I$5,0)</f>
        <v>526</v>
      </c>
      <c r="AF49" s="5">
        <f>ROUND((vstupy!E77*POWER($F$5/50,vstupy!E84))*$I$5,0)</f>
        <v>652</v>
      </c>
      <c r="AG49" s="6">
        <f>ROUND((vstupy!F77*POWER($F$5/50,vstupy!F84))*$I$5,0)</f>
        <v>802</v>
      </c>
      <c r="AH49" s="34"/>
      <c r="AI49" s="34"/>
      <c r="AJ49" s="34"/>
      <c r="AK49" s="34"/>
      <c r="AL49" s="34"/>
      <c r="AM49" s="34"/>
      <c r="AN49" s="34"/>
      <c r="AP49" s="11">
        <v>750</v>
      </c>
      <c r="AQ49" s="78"/>
      <c r="AR49" s="79"/>
      <c r="AS49" s="79"/>
      <c r="AT49" s="80"/>
      <c r="AU49" s="34"/>
      <c r="AV49" s="34"/>
      <c r="AW49" s="34"/>
      <c r="AX49" s="34"/>
      <c r="AY49" s="34"/>
      <c r="AZ49" s="34"/>
      <c r="BA49" s="34"/>
    </row>
    <row r="50" spans="2:53" ht="15.75" thickBot="1" x14ac:dyDescent="0.3">
      <c r="B50" s="177"/>
      <c r="C50" s="177"/>
      <c r="D50" s="177"/>
      <c r="E50" s="177"/>
      <c r="F50" s="177"/>
      <c r="G50" s="34"/>
      <c r="H50" s="34"/>
      <c r="I50" s="34"/>
      <c r="J50" s="34"/>
      <c r="K50" s="34"/>
      <c r="L50" s="34"/>
      <c r="M50" s="34"/>
      <c r="O50" s="177"/>
      <c r="P50" s="177"/>
      <c r="Q50" s="177"/>
      <c r="R50" s="177"/>
      <c r="S50" s="177"/>
      <c r="T50" s="34"/>
      <c r="U50" s="34"/>
      <c r="V50" s="34"/>
      <c r="W50" s="34"/>
      <c r="X50" s="34"/>
      <c r="Y50" s="34"/>
      <c r="Z50" s="34"/>
      <c r="AC50" s="177"/>
      <c r="AD50" s="177"/>
      <c r="AE50" s="177"/>
      <c r="AF50" s="177"/>
      <c r="AG50" s="177"/>
      <c r="AH50" s="34"/>
      <c r="AI50" s="34"/>
      <c r="AJ50" s="34"/>
      <c r="AK50" s="34"/>
      <c r="AL50" s="34"/>
      <c r="AM50" s="34"/>
      <c r="AN50" s="34"/>
      <c r="AP50" s="177"/>
      <c r="AQ50" s="177"/>
      <c r="AR50" s="177"/>
      <c r="AS50" s="177"/>
      <c r="AT50" s="177"/>
      <c r="AU50" s="34"/>
      <c r="AV50" s="34"/>
      <c r="AW50" s="34"/>
      <c r="AX50" s="34"/>
      <c r="AY50" s="34"/>
      <c r="AZ50" s="34"/>
      <c r="BA50" s="34"/>
    </row>
    <row r="51" spans="2:53" ht="15" customHeight="1" thickBot="1" x14ac:dyDescent="0.3">
      <c r="B51" s="34"/>
      <c r="C51" s="35" t="s">
        <v>267</v>
      </c>
      <c r="D51" s="36"/>
      <c r="E51" s="36"/>
      <c r="F51" s="36"/>
      <c r="G51" s="36"/>
      <c r="H51" s="35" t="s">
        <v>269</v>
      </c>
      <c r="I51" s="36"/>
      <c r="J51" s="36"/>
      <c r="K51" s="36"/>
      <c r="L51" s="37"/>
      <c r="M51" s="34"/>
      <c r="O51" s="34"/>
      <c r="P51" s="35" t="s">
        <v>267</v>
      </c>
      <c r="Q51" s="36"/>
      <c r="R51" s="36"/>
      <c r="S51" s="36"/>
      <c r="T51" s="36"/>
      <c r="U51" s="35" t="s">
        <v>269</v>
      </c>
      <c r="V51" s="36"/>
      <c r="W51" s="36"/>
      <c r="X51" s="36"/>
      <c r="Y51" s="37"/>
      <c r="Z51" s="34"/>
      <c r="AC51" s="34"/>
      <c r="AD51" s="35" t="s">
        <v>267</v>
      </c>
      <c r="AE51" s="36"/>
      <c r="AF51" s="36"/>
      <c r="AG51" s="36"/>
      <c r="AH51" s="36"/>
      <c r="AI51" s="35" t="s">
        <v>269</v>
      </c>
      <c r="AJ51" s="36"/>
      <c r="AK51" s="36"/>
      <c r="AL51" s="36"/>
      <c r="AM51" s="37"/>
      <c r="AN51" s="34"/>
      <c r="AP51" s="34"/>
      <c r="AQ51" s="35" t="s">
        <v>267</v>
      </c>
      <c r="AR51" s="36"/>
      <c r="AS51" s="36"/>
      <c r="AT51" s="36"/>
      <c r="AU51" s="36"/>
      <c r="AV51" s="35" t="s">
        <v>269</v>
      </c>
      <c r="AW51" s="36"/>
      <c r="AX51" s="36"/>
      <c r="AY51" s="36"/>
      <c r="AZ51" s="37"/>
      <c r="BA51" s="34"/>
    </row>
    <row r="52" spans="2:53" ht="15" customHeight="1" x14ac:dyDescent="0.25">
      <c r="B52" s="7" t="s">
        <v>9</v>
      </c>
      <c r="C52" s="38" t="s">
        <v>10</v>
      </c>
      <c r="D52" s="39"/>
      <c r="E52" s="39"/>
      <c r="F52" s="39"/>
      <c r="G52" s="40"/>
      <c r="H52" s="38" t="s">
        <v>10</v>
      </c>
      <c r="I52" s="39"/>
      <c r="J52" s="39"/>
      <c r="K52" s="39"/>
      <c r="L52" s="40"/>
      <c r="M52" s="7" t="s">
        <v>9</v>
      </c>
      <c r="O52" s="7" t="s">
        <v>9</v>
      </c>
      <c r="P52" s="38" t="s">
        <v>10</v>
      </c>
      <c r="Q52" s="39"/>
      <c r="R52" s="39"/>
      <c r="S52" s="39"/>
      <c r="T52" s="40"/>
      <c r="U52" s="38" t="s">
        <v>10</v>
      </c>
      <c r="V52" s="39"/>
      <c r="W52" s="39"/>
      <c r="X52" s="39"/>
      <c r="Y52" s="40"/>
      <c r="Z52" s="7" t="s">
        <v>9</v>
      </c>
      <c r="AC52" s="7" t="s">
        <v>9</v>
      </c>
      <c r="AD52" s="38" t="s">
        <v>10</v>
      </c>
      <c r="AE52" s="39"/>
      <c r="AF52" s="39"/>
      <c r="AG52" s="39"/>
      <c r="AH52" s="40"/>
      <c r="AI52" s="38" t="s">
        <v>10</v>
      </c>
      <c r="AJ52" s="39"/>
      <c r="AK52" s="39"/>
      <c r="AL52" s="39"/>
      <c r="AM52" s="40"/>
      <c r="AN52" s="7" t="s">
        <v>9</v>
      </c>
      <c r="AP52" s="7" t="s">
        <v>9</v>
      </c>
      <c r="AQ52" s="38" t="s">
        <v>10</v>
      </c>
      <c r="AR52" s="39"/>
      <c r="AS52" s="39"/>
      <c r="AT52" s="39"/>
      <c r="AU52" s="40"/>
      <c r="AV52" s="38" t="s">
        <v>10</v>
      </c>
      <c r="AW52" s="39"/>
      <c r="AX52" s="39"/>
      <c r="AY52" s="39"/>
      <c r="AZ52" s="40"/>
      <c r="BA52" s="7" t="s">
        <v>9</v>
      </c>
    </row>
    <row r="53" spans="2:53" ht="15" customHeight="1" thickBot="1" x14ac:dyDescent="0.3">
      <c r="B53" s="8" t="s">
        <v>11</v>
      </c>
      <c r="C53" s="15">
        <v>700</v>
      </c>
      <c r="D53" s="16">
        <v>900</v>
      </c>
      <c r="E53" s="16">
        <v>1220</v>
      </c>
      <c r="F53" s="16">
        <v>1500</v>
      </c>
      <c r="G53" s="17">
        <v>1820</v>
      </c>
      <c r="H53" s="15">
        <v>700</v>
      </c>
      <c r="I53" s="16">
        <v>900</v>
      </c>
      <c r="J53" s="16">
        <v>1220</v>
      </c>
      <c r="K53" s="16">
        <v>1500</v>
      </c>
      <c r="L53" s="17">
        <v>1820</v>
      </c>
      <c r="M53" s="8" t="s">
        <v>11</v>
      </c>
      <c r="O53" s="8" t="s">
        <v>11</v>
      </c>
      <c r="P53" s="15">
        <v>700</v>
      </c>
      <c r="Q53" s="16">
        <v>900</v>
      </c>
      <c r="R53" s="16">
        <v>1220</v>
      </c>
      <c r="S53" s="16">
        <v>1500</v>
      </c>
      <c r="T53" s="17">
        <v>1820</v>
      </c>
      <c r="U53" s="15">
        <v>700</v>
      </c>
      <c r="V53" s="16">
        <v>900</v>
      </c>
      <c r="W53" s="16">
        <v>1220</v>
      </c>
      <c r="X53" s="16">
        <v>1500</v>
      </c>
      <c r="Y53" s="17">
        <v>1820</v>
      </c>
      <c r="Z53" s="8" t="s">
        <v>11</v>
      </c>
      <c r="AC53" s="8" t="s">
        <v>11</v>
      </c>
      <c r="AD53" s="15">
        <v>700</v>
      </c>
      <c r="AE53" s="16">
        <v>900</v>
      </c>
      <c r="AF53" s="16">
        <v>1220</v>
      </c>
      <c r="AG53" s="16">
        <v>1500</v>
      </c>
      <c r="AH53" s="17">
        <v>1820</v>
      </c>
      <c r="AI53" s="15">
        <v>700</v>
      </c>
      <c r="AJ53" s="16">
        <v>900</v>
      </c>
      <c r="AK53" s="16">
        <v>1220</v>
      </c>
      <c r="AL53" s="16">
        <v>1500</v>
      </c>
      <c r="AM53" s="17">
        <v>1820</v>
      </c>
      <c r="AN53" s="8" t="s">
        <v>11</v>
      </c>
      <c r="AP53" s="8" t="s">
        <v>11</v>
      </c>
      <c r="AQ53" s="15">
        <v>700</v>
      </c>
      <c r="AR53" s="16">
        <v>900</v>
      </c>
      <c r="AS53" s="16">
        <v>1220</v>
      </c>
      <c r="AT53" s="16">
        <v>1500</v>
      </c>
      <c r="AU53" s="17">
        <v>1820</v>
      </c>
      <c r="AV53" s="15">
        <v>700</v>
      </c>
      <c r="AW53" s="16">
        <v>900</v>
      </c>
      <c r="AX53" s="16">
        <v>1220</v>
      </c>
      <c r="AY53" s="16">
        <v>1500</v>
      </c>
      <c r="AZ53" s="17">
        <v>1820</v>
      </c>
      <c r="BA53" s="8" t="s">
        <v>11</v>
      </c>
    </row>
    <row r="54" spans="2:53" ht="13.5" customHeight="1" x14ac:dyDescent="0.25">
      <c r="B54" s="9">
        <v>450</v>
      </c>
      <c r="C54" s="12">
        <f>ROUND((((($C$5-$D$5)/(LN(($C$5-$E$5)/($D$5-$E$5))))/49.8328865456397)^vstupy!C96)*vstupy!C89*$I$5,0)</f>
        <v>335</v>
      </c>
      <c r="D54" s="13">
        <f>ROUND((((($C$5-$D$5)/(LN(($C$5-$E$5)/($D$5-$E$5))))/49.8328865456397)^vstupy!D96)*vstupy!D89*$I$5,0)</f>
        <v>432</v>
      </c>
      <c r="E54" s="13">
        <f>ROUND((((($C$5-$D$5)/(LN(($C$5-$E$5)/($D$5-$E$5))))/49.8328865456397)^vstupy!E96)*vstupy!E89*$I$5,0)</f>
        <v>589</v>
      </c>
      <c r="F54" s="13">
        <f>ROUND((((($C$5-$D$5)/(LN(($C$5-$E$5)/($D$5-$E$5))))/49.8328865456397)^vstupy!F96)*vstupy!F89*$I$5,0)</f>
        <v>725</v>
      </c>
      <c r="G54" s="14">
        <f>ROUND((((($C$5-$D$5)/(LN(($C$5-$E$5)/($D$5-$E$5))))/49.8328865456397)^vstupy!G96)*vstupy!G89*$I$5,0)</f>
        <v>879</v>
      </c>
      <c r="H54" s="12">
        <f>ROUND((((($C$5-$D$5)/(LN(($C$5-$E$5)/($D$5-$E$5))))/49.8328865456397)^vstupy!H96)*vstupy!H89*$I$5,0)</f>
        <v>335</v>
      </c>
      <c r="I54" s="13">
        <f>ROUND((((($C$5-$D$5)/(LN(($C$5-$E$5)/($D$5-$E$5))))/49.8328865456397)^vstupy!I96)*vstupy!I89*$I$5,0)</f>
        <v>432</v>
      </c>
      <c r="J54" s="13">
        <f>ROUND((((($C$5-$D$5)/(LN(($C$5-$E$5)/($D$5-$E$5))))/49.8328865456397)^vstupy!J96)*vstupy!J89*$I$5,0)</f>
        <v>589</v>
      </c>
      <c r="K54" s="13">
        <f>ROUND((((($C$5-$D$5)/(LN(($C$5-$E$5)/($D$5-$E$5))))/49.8328865456397)^vstupy!K96)*vstupy!K89*$I$5,0)</f>
        <v>725</v>
      </c>
      <c r="L54" s="14">
        <f>ROUND((((($C$5-$D$5)/(LN(($C$5-$E$5)/($D$5-$E$5))))/49.8328865456397)^vstupy!L96)*vstupy!L89*$I$5,0)</f>
        <v>879</v>
      </c>
      <c r="M54" s="9">
        <v>450</v>
      </c>
      <c r="O54" s="9">
        <v>450</v>
      </c>
      <c r="P54" s="12">
        <f>ROUND((((($C$5-$D$5)/(LN(($C$5-$E$5)/($D$5-$E$5))))/49.8328865456397)^vstupy!P96)*vstupy!P89*$I$5,0)</f>
        <v>361</v>
      </c>
      <c r="Q54" s="13">
        <f>ROUND((((($C$5-$D$5)/(LN(($C$5-$E$5)/($D$5-$E$5))))/49.8328865456397)^vstupy!Q96)*vstupy!Q89*$I$5,0)</f>
        <v>462</v>
      </c>
      <c r="R54" s="13">
        <f>ROUND((((($C$5-$D$5)/(LN(($C$5-$E$5)/($D$5-$E$5))))/49.8328865456397)^vstupy!R96)*vstupy!R89*$I$5,0)</f>
        <v>625</v>
      </c>
      <c r="S54" s="13">
        <f>ROUND((((($C$5-$D$5)/(LN(($C$5-$E$5)/($D$5-$E$5))))/49.8328865456397)^vstupy!S96)*vstupy!S89*$I$5,0)</f>
        <v>771</v>
      </c>
      <c r="T54" s="13">
        <f>ROUND((((($C$5-$D$5)/(LN(($C$5-$E$5)/($D$5-$E$5))))/49.8328865456397)^vstupy!T96)*vstupy!T89*$I$5,0)</f>
        <v>942</v>
      </c>
      <c r="U54" s="72"/>
      <c r="V54" s="73"/>
      <c r="W54" s="73"/>
      <c r="X54" s="73"/>
      <c r="Y54" s="74"/>
      <c r="Z54" s="9">
        <v>450</v>
      </c>
      <c r="AC54" s="9">
        <v>450</v>
      </c>
      <c r="AD54" s="12">
        <f>ROUND((vstupy!C89*POWER($F$5/50,vstupy!C96))*$I$5,0)</f>
        <v>335</v>
      </c>
      <c r="AE54" s="13">
        <f>ROUND((vstupy!D89*POWER($F$5/50,vstupy!D96))*$I$5,0)</f>
        <v>432</v>
      </c>
      <c r="AF54" s="13">
        <f>ROUND((vstupy!E89*POWER($F$5/50,vstupy!E96))*$I$5,0)</f>
        <v>589</v>
      </c>
      <c r="AG54" s="13">
        <f>ROUND((vstupy!F89*POWER($F$5/50,vstupy!F96))*$I$5,0)</f>
        <v>725</v>
      </c>
      <c r="AH54" s="14">
        <f>ROUND((vstupy!G89*POWER($F$5/50,vstupy!G96))*$I$5,0)</f>
        <v>879</v>
      </c>
      <c r="AI54" s="12">
        <f>ROUND((vstupy!H89*POWER($F$5/50,vstupy!H96))*$I$5,0)</f>
        <v>335</v>
      </c>
      <c r="AJ54" s="13">
        <f>ROUND((vstupy!I89*POWER($F$5/50,vstupy!I96))*$I$5,0)</f>
        <v>432</v>
      </c>
      <c r="AK54" s="13">
        <f>ROUND((vstupy!J89*POWER($F$5/50,vstupy!J96))*$I$5,0)</f>
        <v>589</v>
      </c>
      <c r="AL54" s="13">
        <f>ROUND((vstupy!K89*POWER($F$5/50,vstupy!K96))*$I$5,0)</f>
        <v>725</v>
      </c>
      <c r="AM54" s="14">
        <f>ROUND((vstupy!L89*POWER($F$5/50,vstupy!L96))*$I$5,0)</f>
        <v>879</v>
      </c>
      <c r="AN54" s="9">
        <v>450</v>
      </c>
      <c r="AP54" s="9">
        <v>450</v>
      </c>
      <c r="AQ54" s="12">
        <f>ROUND((vstupy!P89*POWER($F$5/50,vstupy!P96))*$I$5,0)</f>
        <v>361</v>
      </c>
      <c r="AR54" s="13">
        <f>ROUND((vstupy!Q89*POWER($F$5/50,vstupy!Q96))*$I$5,0)</f>
        <v>462</v>
      </c>
      <c r="AS54" s="13">
        <f>ROUND((vstupy!R89*POWER($F$5/50,vstupy!R96))*$I$5,0)</f>
        <v>625</v>
      </c>
      <c r="AT54" s="13">
        <f>ROUND((vstupy!S89*POWER($F$5/50,vstupy!S96))*$I$5,0)</f>
        <v>771</v>
      </c>
      <c r="AU54" s="13">
        <f>ROUND((vstupy!T89*POWER($F$5/50,vstupy!T96))*$I$5,0)</f>
        <v>942</v>
      </c>
      <c r="AV54" s="72"/>
      <c r="AW54" s="73"/>
      <c r="AX54" s="73"/>
      <c r="AY54" s="73"/>
      <c r="AZ54" s="74"/>
      <c r="BA54" s="9">
        <v>450</v>
      </c>
    </row>
    <row r="55" spans="2:53" ht="13.5" customHeight="1" x14ac:dyDescent="0.25">
      <c r="B55" s="10">
        <v>600</v>
      </c>
      <c r="C55" s="2">
        <f>ROUND((((($C$5-$D$5)/(LN(($C$5-$E$5)/($D$5-$E$5))))/49.8328865456397)^vstupy!C97)*vstupy!C90*$I$5,0)</f>
        <v>444</v>
      </c>
      <c r="D55" s="1">
        <f>ROUND((((($C$5-$D$5)/(LN(($C$5-$E$5)/($D$5-$E$5))))/49.8328865456397)^vstupy!D97)*vstupy!D90*$I$5,0)</f>
        <v>574</v>
      </c>
      <c r="E55" s="1">
        <f>ROUND((((($C$5-$D$5)/(LN(($C$5-$E$5)/($D$5-$E$5))))/49.8328865456397)^vstupy!E97)*vstupy!E90*$I$5,0)</f>
        <v>781</v>
      </c>
      <c r="F55" s="1">
        <f>ROUND((((($C$5-$D$5)/(LN(($C$5-$E$5)/($D$5-$E$5))))/49.8328865456397)^vstupy!F97)*vstupy!F90*$I$5,0)</f>
        <v>962</v>
      </c>
      <c r="G55" s="3">
        <f>ROUND((((($C$5-$D$5)/(LN(($C$5-$E$5)/($D$5-$E$5))))/49.8328865456397)^vstupy!G97)*vstupy!G90*$I$5,0)</f>
        <v>1166</v>
      </c>
      <c r="H55" s="2">
        <f>ROUND((((($C$5-$D$5)/(LN(($C$5-$E$5)/($D$5-$E$5))))/49.8328865456397)^vstupy!H97)*vstupy!H90*$I$5,0)</f>
        <v>444</v>
      </c>
      <c r="I55" s="1">
        <f>ROUND((((($C$5-$D$5)/(LN(($C$5-$E$5)/($D$5-$E$5))))/49.8328865456397)^vstupy!I97)*vstupy!I90*$I$5,0)</f>
        <v>574</v>
      </c>
      <c r="J55" s="1">
        <f>ROUND((((($C$5-$D$5)/(LN(($C$5-$E$5)/($D$5-$E$5))))/49.8328865456397)^vstupy!J97)*vstupy!J90*$I$5,0)</f>
        <v>781</v>
      </c>
      <c r="K55" s="1">
        <f>ROUND((((($C$5-$D$5)/(LN(($C$5-$E$5)/($D$5-$E$5))))/49.8328865456397)^vstupy!K97)*vstupy!K90*$I$5,0)</f>
        <v>962</v>
      </c>
      <c r="L55" s="3">
        <f>ROUND((((($C$5-$D$5)/(LN(($C$5-$E$5)/($D$5-$E$5))))/49.8328865456397)^vstupy!L97)*vstupy!L90*$I$5,0)</f>
        <v>1166</v>
      </c>
      <c r="M55" s="10">
        <v>600</v>
      </c>
      <c r="O55" s="10">
        <v>600</v>
      </c>
      <c r="P55" s="2">
        <f>ROUND((((($C$5-$D$5)/(LN(($C$5-$E$5)/($D$5-$E$5))))/49.8328865456397)^vstupy!P97)*vstupy!P90*$I$5,0)</f>
        <v>480</v>
      </c>
      <c r="Q55" s="1">
        <f>ROUND((((($C$5-$D$5)/(LN(($C$5-$E$5)/($D$5-$E$5))))/49.8328865456397)^vstupy!Q97)*vstupy!Q90*$I$5,0)</f>
        <v>614</v>
      </c>
      <c r="R55" s="1">
        <f>ROUND((((($C$5-$D$5)/(LN(($C$5-$E$5)/($D$5-$E$5))))/49.8328865456397)^vstupy!R97)*vstupy!R90*$I$5,0)</f>
        <v>832</v>
      </c>
      <c r="S55" s="1">
        <f>ROUND((((($C$5-$D$5)/(LN(($C$5-$E$5)/($D$5-$E$5))))/49.8328865456397)^vstupy!S97)*vstupy!S90*$I$5,0)</f>
        <v>1026</v>
      </c>
      <c r="T55" s="3">
        <f>ROUND((((($C$5-$D$5)/(LN(($C$5-$E$5)/($D$5-$E$5))))/49.8328865456397)^vstupy!T97)*vstupy!T90*$I$5,0)</f>
        <v>1253</v>
      </c>
      <c r="U55" s="75"/>
      <c r="V55" s="76"/>
      <c r="W55" s="76"/>
      <c r="X55" s="76"/>
      <c r="Y55" s="77"/>
      <c r="Z55" s="10">
        <v>600</v>
      </c>
      <c r="AC55" s="10">
        <v>600</v>
      </c>
      <c r="AD55" s="2">
        <f>ROUND((vstupy!C90*POWER($F$5/50,vstupy!C97))*$I$5,0)</f>
        <v>444</v>
      </c>
      <c r="AE55" s="1">
        <f>ROUND((vstupy!D90*POWER($F$5/50,vstupy!D97))*$I$5,0)</f>
        <v>574</v>
      </c>
      <c r="AF55" s="1">
        <f>ROUND((vstupy!E90*POWER($F$5/50,vstupy!E97))*$I$5,0)</f>
        <v>781</v>
      </c>
      <c r="AG55" s="1">
        <f>ROUND((vstupy!F90*POWER($F$5/50,vstupy!F97))*$I$5,0)</f>
        <v>962</v>
      </c>
      <c r="AH55" s="3">
        <f>ROUND((vstupy!G90*POWER($F$5/50,vstupy!G97))*$I$5,0)</f>
        <v>1166</v>
      </c>
      <c r="AI55" s="2">
        <f>ROUND((vstupy!H90*POWER($F$5/50,vstupy!H97))*$I$5,0)</f>
        <v>444</v>
      </c>
      <c r="AJ55" s="1">
        <f>ROUND((vstupy!I90*POWER($F$5/50,vstupy!I97))*$I$5,0)</f>
        <v>574</v>
      </c>
      <c r="AK55" s="1">
        <f>ROUND((vstupy!J90*POWER($F$5/50,vstupy!J97))*$I$5,0)</f>
        <v>781</v>
      </c>
      <c r="AL55" s="1">
        <f>ROUND((vstupy!K90*POWER($F$5/50,vstupy!K97))*$I$5,0)</f>
        <v>962</v>
      </c>
      <c r="AM55" s="3">
        <f>ROUND((vstupy!L90*POWER($F$5/50,vstupy!L97))*$I$5,0)</f>
        <v>1166</v>
      </c>
      <c r="AN55" s="10">
        <v>600</v>
      </c>
      <c r="AP55" s="10">
        <v>600</v>
      </c>
      <c r="AQ55" s="2">
        <f>ROUND((vstupy!P90*POWER($F$5/50,vstupy!P97))*$I$5,0)</f>
        <v>480</v>
      </c>
      <c r="AR55" s="1">
        <f>ROUND((vstupy!Q90*POWER($F$5/50,vstupy!Q97))*$I$5,0)</f>
        <v>614</v>
      </c>
      <c r="AS55" s="1">
        <f>ROUND((vstupy!R90*POWER($F$5/50,vstupy!R97))*$I$5,0)</f>
        <v>832</v>
      </c>
      <c r="AT55" s="1">
        <f>ROUND((vstupy!S90*POWER($F$5/50,vstupy!S97))*$I$5,0)</f>
        <v>1026</v>
      </c>
      <c r="AU55" s="3">
        <f>ROUND((vstupy!T90*POWER($F$5/50,vstupy!T97))*$I$5,0)</f>
        <v>1253</v>
      </c>
      <c r="AV55" s="75"/>
      <c r="AW55" s="76"/>
      <c r="AX55" s="76"/>
      <c r="AY55" s="76"/>
      <c r="AZ55" s="77"/>
      <c r="BA55" s="10">
        <v>600</v>
      </c>
    </row>
    <row r="56" spans="2:53" ht="13.5" customHeight="1" thickBot="1" x14ac:dyDescent="0.3">
      <c r="B56" s="11">
        <v>750</v>
      </c>
      <c r="C56" s="4">
        <f>ROUND((((($C$5-$D$5)/(LN(($C$5-$E$5)/($D$5-$E$5))))/49.8328865456397)^vstupy!C98)*vstupy!C91*$I$5,0)</f>
        <v>553</v>
      </c>
      <c r="D56" s="5">
        <f>ROUND((((($C$5-$D$5)/(LN(($C$5-$E$5)/($D$5-$E$5))))/49.8328865456397)^vstupy!D98)*vstupy!D91*$I$5,0)</f>
        <v>714</v>
      </c>
      <c r="E56" s="5">
        <f>ROUND((((($C$5-$D$5)/(LN(($C$5-$E$5)/($D$5-$E$5))))/49.8328865456397)^vstupy!E98)*vstupy!E91*$I$5,0)</f>
        <v>973</v>
      </c>
      <c r="F56" s="5">
        <f>ROUND((((($C$5-$D$5)/(LN(($C$5-$E$5)/($D$5-$E$5))))/49.8328865456397)^vstupy!F98)*vstupy!F91*$I$5,0)</f>
        <v>1197</v>
      </c>
      <c r="G56" s="6">
        <f>ROUND((((($C$5-$D$5)/(LN(($C$5-$E$5)/($D$5-$E$5))))/49.8328865456397)^vstupy!G98)*vstupy!G91*$I$5,0)</f>
        <v>1452</v>
      </c>
      <c r="H56" s="4">
        <f>ROUND((((($C$5-$D$5)/(LN(($C$5-$E$5)/($D$5-$E$5))))/49.8328865456397)^vstupy!H98)*vstupy!H91*$I$5,0)</f>
        <v>553</v>
      </c>
      <c r="I56" s="5">
        <f>ROUND((((($C$5-$D$5)/(LN(($C$5-$E$5)/($D$5-$E$5))))/49.8328865456397)^vstupy!I98)*vstupy!I91*$I$5,0)</f>
        <v>714</v>
      </c>
      <c r="J56" s="5">
        <f>ROUND((((($C$5-$D$5)/(LN(($C$5-$E$5)/($D$5-$E$5))))/49.8328865456397)^vstupy!J98)*vstupy!J91*$I$5,0)</f>
        <v>973</v>
      </c>
      <c r="K56" s="5">
        <f>ROUND((((($C$5-$D$5)/(LN(($C$5-$E$5)/($D$5-$E$5))))/49.8328865456397)^vstupy!K98)*vstupy!K91*$I$5,0)</f>
        <v>1197</v>
      </c>
      <c r="L56" s="6">
        <f>ROUND((((($C$5-$D$5)/(LN(($C$5-$E$5)/($D$5-$E$5))))/49.8328865456397)^vstupy!L98)*vstupy!L91*$I$5,0)</f>
        <v>1452</v>
      </c>
      <c r="M56" s="11">
        <v>750</v>
      </c>
      <c r="O56" s="11">
        <v>750</v>
      </c>
      <c r="P56" s="4">
        <f>ROUND((((($C$5-$D$5)/(LN(($C$5-$E$5)/($D$5-$E$5))))/49.8328865456397)^vstupy!P98)*vstupy!P91*$I$5,0)</f>
        <v>599</v>
      </c>
      <c r="Q56" s="5">
        <f>ROUND((((($C$5-$D$5)/(LN(($C$5-$E$5)/($D$5-$E$5))))/49.8328865456397)^vstupy!Q98)*vstupy!Q91*$I$5,0)</f>
        <v>767</v>
      </c>
      <c r="R56" s="5">
        <f>ROUND((((($C$5-$D$5)/(LN(($C$5-$E$5)/($D$5-$E$5))))/49.8328865456397)^vstupy!R98)*vstupy!R91*$I$5,0)</f>
        <v>1038</v>
      </c>
      <c r="S56" s="5">
        <f>ROUND((((($C$5-$D$5)/(LN(($C$5-$E$5)/($D$5-$E$5))))/49.8328865456397)^vstupy!S98)*vstupy!S91*$I$5,0)</f>
        <v>1280</v>
      </c>
      <c r="T56" s="6">
        <f>ROUND((((($C$5-$D$5)/(LN(($C$5-$E$5)/($D$5-$E$5))))/49.8328865456397)^vstupy!T98)*vstupy!T91*$I$5,0)</f>
        <v>1564</v>
      </c>
      <c r="U56" s="78"/>
      <c r="V56" s="79"/>
      <c r="W56" s="79"/>
      <c r="X56" s="79"/>
      <c r="Y56" s="80"/>
      <c r="Z56" s="11">
        <v>750</v>
      </c>
      <c r="AC56" s="11">
        <v>750</v>
      </c>
      <c r="AD56" s="4">
        <f>ROUND((vstupy!C91*POWER($F$5/50,vstupy!C98))*$I$5,0)</f>
        <v>553</v>
      </c>
      <c r="AE56" s="5">
        <f>ROUND((vstupy!D91*POWER($F$5/50,vstupy!D98))*$I$5,0)</f>
        <v>714</v>
      </c>
      <c r="AF56" s="5">
        <f>ROUND((vstupy!E91*POWER($F$5/50,vstupy!E98))*$I$5,0)</f>
        <v>973</v>
      </c>
      <c r="AG56" s="5">
        <f>ROUND((vstupy!F91*POWER($F$5/50,vstupy!F98))*$I$5,0)</f>
        <v>1197</v>
      </c>
      <c r="AH56" s="6">
        <f>ROUND((vstupy!G91*POWER($F$5/50,vstupy!G98))*$I$5,0)</f>
        <v>1452</v>
      </c>
      <c r="AI56" s="4">
        <f>ROUND((vstupy!H91*POWER($F$5/50,vstupy!H98))*$I$5,0)</f>
        <v>553</v>
      </c>
      <c r="AJ56" s="5">
        <f>ROUND((vstupy!I91*POWER($F$5/50,vstupy!I98))*$I$5,0)</f>
        <v>714</v>
      </c>
      <c r="AK56" s="5">
        <f>ROUND((vstupy!J91*POWER($F$5/50,vstupy!J98))*$I$5,0)</f>
        <v>973</v>
      </c>
      <c r="AL56" s="5">
        <f>ROUND((vstupy!K91*POWER($F$5/50,vstupy!K98))*$I$5,0)</f>
        <v>1197</v>
      </c>
      <c r="AM56" s="6">
        <f>ROUND((vstupy!L91*POWER($F$5/50,vstupy!L98))*$I$5,0)</f>
        <v>1452</v>
      </c>
      <c r="AN56" s="11">
        <v>750</v>
      </c>
      <c r="AP56" s="11">
        <v>750</v>
      </c>
      <c r="AQ56" s="4">
        <f>ROUND((vstupy!P91*POWER($F$5/50,vstupy!P98))*$I$5,0)</f>
        <v>599</v>
      </c>
      <c r="AR56" s="5">
        <f>ROUND((vstupy!Q91*POWER($F$5/50,vstupy!Q98))*$I$5,0)</f>
        <v>767</v>
      </c>
      <c r="AS56" s="5">
        <f>ROUND((vstupy!R91*POWER($F$5/50,vstupy!R98))*$I$5,0)</f>
        <v>1038</v>
      </c>
      <c r="AT56" s="5">
        <f>ROUND((vstupy!S91*POWER($F$5/50,vstupy!S98))*$I$5,0)</f>
        <v>1280</v>
      </c>
      <c r="AU56" s="6">
        <f>ROUND((vstupy!T91*POWER($F$5/50,vstupy!T98))*$I$5,0)</f>
        <v>1564</v>
      </c>
      <c r="AV56" s="78"/>
      <c r="AW56" s="79"/>
      <c r="AX56" s="79"/>
      <c r="AY56" s="79"/>
      <c r="AZ56" s="80"/>
      <c r="BA56" s="11">
        <v>750</v>
      </c>
    </row>
    <row r="57" spans="2:53" ht="13.5" customHeight="1" thickBot="1" x14ac:dyDescent="0.3">
      <c r="B57" s="177"/>
      <c r="C57" s="177"/>
      <c r="D57" s="177"/>
      <c r="E57" s="177"/>
      <c r="F57" s="177"/>
      <c r="G57" s="177"/>
      <c r="H57" s="177"/>
      <c r="I57" s="177"/>
      <c r="J57" s="177"/>
      <c r="K57" s="177"/>
      <c r="L57" s="177"/>
      <c r="M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P57" s="177"/>
      <c r="AQ57" s="177"/>
      <c r="AR57" s="177"/>
      <c r="AS57" s="177"/>
      <c r="AT57" s="177"/>
      <c r="AU57" s="177"/>
      <c r="AV57" s="177"/>
      <c r="AW57" s="177"/>
      <c r="AX57" s="177"/>
      <c r="AY57" s="177"/>
      <c r="AZ57" s="177"/>
      <c r="BA57" s="177"/>
    </row>
    <row r="58" spans="2:53" ht="15" customHeight="1" thickBot="1" x14ac:dyDescent="0.3">
      <c r="B58" s="34"/>
      <c r="C58" s="35" t="s">
        <v>18</v>
      </c>
      <c r="D58" s="36"/>
      <c r="E58" s="36"/>
      <c r="F58" s="36"/>
      <c r="G58" s="36"/>
      <c r="H58" s="35" t="s">
        <v>19</v>
      </c>
      <c r="I58" s="36"/>
      <c r="J58" s="36"/>
      <c r="K58" s="36"/>
      <c r="L58" s="37"/>
      <c r="M58" s="34"/>
      <c r="O58" s="34"/>
      <c r="P58" s="35" t="s">
        <v>18</v>
      </c>
      <c r="Q58" s="36"/>
      <c r="R58" s="36"/>
      <c r="S58" s="36"/>
      <c r="T58" s="36"/>
      <c r="U58" s="35" t="s">
        <v>19</v>
      </c>
      <c r="V58" s="36"/>
      <c r="W58" s="36"/>
      <c r="X58" s="36"/>
      <c r="Y58" s="37"/>
      <c r="Z58" s="34"/>
      <c r="AC58" s="34"/>
      <c r="AD58" s="35" t="s">
        <v>18</v>
      </c>
      <c r="AE58" s="36"/>
      <c r="AF58" s="36"/>
      <c r="AG58" s="36"/>
      <c r="AH58" s="36"/>
      <c r="AI58" s="35" t="s">
        <v>19</v>
      </c>
      <c r="AJ58" s="36"/>
      <c r="AK58" s="36"/>
      <c r="AL58" s="36"/>
      <c r="AM58" s="37"/>
      <c r="AN58" s="34"/>
      <c r="AP58" s="34"/>
      <c r="AQ58" s="35" t="s">
        <v>18</v>
      </c>
      <c r="AR58" s="36"/>
      <c r="AS58" s="36"/>
      <c r="AT58" s="36"/>
      <c r="AU58" s="36"/>
      <c r="AV58" s="35" t="s">
        <v>19</v>
      </c>
      <c r="AW58" s="36"/>
      <c r="AX58" s="36"/>
      <c r="AY58" s="36"/>
      <c r="AZ58" s="37"/>
      <c r="BA58" s="34"/>
    </row>
    <row r="59" spans="2:53" ht="15" customHeight="1" x14ac:dyDescent="0.25">
      <c r="B59" s="7" t="s">
        <v>9</v>
      </c>
      <c r="C59" s="38" t="s">
        <v>10</v>
      </c>
      <c r="D59" s="39"/>
      <c r="E59" s="39"/>
      <c r="F59" s="39"/>
      <c r="G59" s="40"/>
      <c r="H59" s="38" t="s">
        <v>10</v>
      </c>
      <c r="I59" s="39"/>
      <c r="J59" s="39"/>
      <c r="K59" s="39"/>
      <c r="L59" s="40"/>
      <c r="M59" s="7" t="s">
        <v>9</v>
      </c>
      <c r="O59" s="7" t="s">
        <v>9</v>
      </c>
      <c r="P59" s="38" t="s">
        <v>10</v>
      </c>
      <c r="Q59" s="39"/>
      <c r="R59" s="39"/>
      <c r="S59" s="39"/>
      <c r="T59" s="40"/>
      <c r="U59" s="38" t="s">
        <v>10</v>
      </c>
      <c r="V59" s="39"/>
      <c r="W59" s="39"/>
      <c r="X59" s="39"/>
      <c r="Y59" s="40"/>
      <c r="Z59" s="7" t="s">
        <v>9</v>
      </c>
      <c r="AC59" s="7" t="s">
        <v>9</v>
      </c>
      <c r="AD59" s="38" t="s">
        <v>10</v>
      </c>
      <c r="AE59" s="39"/>
      <c r="AF59" s="39"/>
      <c r="AG59" s="39"/>
      <c r="AH59" s="40"/>
      <c r="AI59" s="38" t="s">
        <v>10</v>
      </c>
      <c r="AJ59" s="39"/>
      <c r="AK59" s="39"/>
      <c r="AL59" s="39"/>
      <c r="AM59" s="40"/>
      <c r="AN59" s="7" t="s">
        <v>9</v>
      </c>
      <c r="AP59" s="7" t="s">
        <v>9</v>
      </c>
      <c r="AQ59" s="38" t="s">
        <v>10</v>
      </c>
      <c r="AR59" s="39"/>
      <c r="AS59" s="39"/>
      <c r="AT59" s="39"/>
      <c r="AU59" s="40"/>
      <c r="AV59" s="38" t="s">
        <v>10</v>
      </c>
      <c r="AW59" s="39"/>
      <c r="AX59" s="39"/>
      <c r="AY59" s="39"/>
      <c r="AZ59" s="40"/>
      <c r="BA59" s="7" t="s">
        <v>9</v>
      </c>
    </row>
    <row r="60" spans="2:53" ht="15" customHeight="1" thickBot="1" x14ac:dyDescent="0.3">
      <c r="B60" s="8" t="s">
        <v>11</v>
      </c>
      <c r="C60" s="15">
        <v>700</v>
      </c>
      <c r="D60" s="16">
        <v>900</v>
      </c>
      <c r="E60" s="16">
        <v>1220</v>
      </c>
      <c r="F60" s="16">
        <v>1500</v>
      </c>
      <c r="G60" s="17">
        <v>1820</v>
      </c>
      <c r="H60" s="15">
        <v>700</v>
      </c>
      <c r="I60" s="16">
        <v>900</v>
      </c>
      <c r="J60" s="16">
        <v>1220</v>
      </c>
      <c r="K60" s="16">
        <v>1500</v>
      </c>
      <c r="L60" s="17">
        <v>1820</v>
      </c>
      <c r="M60" s="8" t="s">
        <v>11</v>
      </c>
      <c r="O60" s="8" t="s">
        <v>11</v>
      </c>
      <c r="P60" s="15">
        <v>700</v>
      </c>
      <c r="Q60" s="16">
        <v>900</v>
      </c>
      <c r="R60" s="16">
        <v>1220</v>
      </c>
      <c r="S60" s="16">
        <v>1500</v>
      </c>
      <c r="T60" s="17">
        <v>1820</v>
      </c>
      <c r="U60" s="15">
        <v>700</v>
      </c>
      <c r="V60" s="16">
        <v>900</v>
      </c>
      <c r="W60" s="16">
        <v>1220</v>
      </c>
      <c r="X60" s="16">
        <v>1500</v>
      </c>
      <c r="Y60" s="17">
        <v>1820</v>
      </c>
      <c r="Z60" s="8" t="s">
        <v>11</v>
      </c>
      <c r="AC60" s="8" t="s">
        <v>11</v>
      </c>
      <c r="AD60" s="15">
        <v>700</v>
      </c>
      <c r="AE60" s="16">
        <v>900</v>
      </c>
      <c r="AF60" s="16">
        <v>1220</v>
      </c>
      <c r="AG60" s="16">
        <v>1500</v>
      </c>
      <c r="AH60" s="17">
        <v>1820</v>
      </c>
      <c r="AI60" s="15">
        <v>700</v>
      </c>
      <c r="AJ60" s="16">
        <v>900</v>
      </c>
      <c r="AK60" s="16">
        <v>1220</v>
      </c>
      <c r="AL60" s="16">
        <v>1500</v>
      </c>
      <c r="AM60" s="17">
        <v>1820</v>
      </c>
      <c r="AN60" s="8" t="s">
        <v>11</v>
      </c>
      <c r="AP60" s="8" t="s">
        <v>11</v>
      </c>
      <c r="AQ60" s="15">
        <v>700</v>
      </c>
      <c r="AR60" s="16">
        <v>900</v>
      </c>
      <c r="AS60" s="16">
        <v>1220</v>
      </c>
      <c r="AT60" s="16">
        <v>1500</v>
      </c>
      <c r="AU60" s="17">
        <v>1820</v>
      </c>
      <c r="AV60" s="15">
        <v>700</v>
      </c>
      <c r="AW60" s="16">
        <v>900</v>
      </c>
      <c r="AX60" s="16">
        <v>1220</v>
      </c>
      <c r="AY60" s="16">
        <v>1500</v>
      </c>
      <c r="AZ60" s="17">
        <v>1820</v>
      </c>
      <c r="BA60" s="8" t="s">
        <v>11</v>
      </c>
    </row>
    <row r="61" spans="2:53" ht="13.5" customHeight="1" x14ac:dyDescent="0.25">
      <c r="B61" s="9">
        <v>450</v>
      </c>
      <c r="C61" s="12">
        <f>ROUND((((($C$5-$D$5)/(LN(($C$5-$E$5)/($D$5-$E$5))))/49.8328865456397)^vstupy!C111)*vstupy!C103*$I$5,0)</f>
        <v>287</v>
      </c>
      <c r="D61" s="13">
        <f>ROUND((((($C$5-$D$5)/(LN(($C$5-$E$5)/($D$5-$E$5))))/49.8328865456397)^vstupy!D111)*vstupy!D103*$I$5,0)</f>
        <v>369</v>
      </c>
      <c r="E61" s="13">
        <f>ROUND((((($C$5-$D$5)/(LN(($C$5-$E$5)/($D$5-$E$5))))/49.8328865456397)^vstupy!E111)*vstupy!E103*$I$5,0)</f>
        <v>504</v>
      </c>
      <c r="F61" s="13">
        <f>ROUND((((($C$5-$D$5)/(LN(($C$5-$E$5)/($D$5-$E$5))))/49.8328865456397)^vstupy!F111)*vstupy!F103*$I$5,0)</f>
        <v>626</v>
      </c>
      <c r="G61" s="14">
        <f>ROUND((((($C$5-$D$5)/(LN(($C$5-$E$5)/($D$5-$E$5))))/49.8328865456397)^vstupy!G111)*vstupy!G103*$I$5,0)</f>
        <v>772</v>
      </c>
      <c r="H61" s="12">
        <f>ROUND((((($C$5-$D$5)/(LN(($C$5-$E$5)/($D$5-$E$5))))/49.8328865456397)^vstupy!H111)*vstupy!H103*$I$5,0)</f>
        <v>287</v>
      </c>
      <c r="I61" s="13">
        <f>ROUND((((($C$5-$D$5)/(LN(($C$5-$E$5)/($D$5-$E$5))))/49.8328865456397)^vstupy!I111)*vstupy!I103*$I$5,0)</f>
        <v>369</v>
      </c>
      <c r="J61" s="13">
        <f>ROUND((((($C$5-$D$5)/(LN(($C$5-$E$5)/($D$5-$E$5))))/49.8328865456397)^vstupy!J111)*vstupy!J103*$I$5,0)</f>
        <v>504</v>
      </c>
      <c r="K61" s="13">
        <f>ROUND((((($C$5-$D$5)/(LN(($C$5-$E$5)/($D$5-$E$5))))/49.8328865456397)^vstupy!K111)*vstupy!K103*$I$5,0)</f>
        <v>626</v>
      </c>
      <c r="L61" s="14">
        <f>ROUND((((($C$5-$D$5)/(LN(($C$5-$E$5)/($D$5-$E$5))))/49.8328865456397)^vstupy!L111)*vstupy!L103*$I$5,0)</f>
        <v>772</v>
      </c>
      <c r="M61" s="9">
        <v>450</v>
      </c>
      <c r="O61" s="9">
        <v>450</v>
      </c>
      <c r="P61" s="12">
        <f>ROUND((((($C$5-$D$5)/(LN(($C$5-$E$5)/($D$5-$E$5))))/49.8328865456397)^vstupy!P111)*vstupy!P103*$I$5,0)</f>
        <v>312</v>
      </c>
      <c r="Q61" s="13">
        <f>ROUND((((($C$5-$D$5)/(LN(($C$5-$E$5)/($D$5-$E$5))))/49.8328865456397)^vstupy!Q111)*vstupy!Q103*$I$5,0)</f>
        <v>402</v>
      </c>
      <c r="R61" s="13">
        <f>ROUND((((($C$5-$D$5)/(LN(($C$5-$E$5)/($D$5-$E$5))))/49.8328865456397)^vstupy!R111)*vstupy!R103*$I$5,0)</f>
        <v>549</v>
      </c>
      <c r="S61" s="13">
        <f>ROUND((((($C$5-$D$5)/(LN(($C$5-$E$5)/($D$5-$E$5))))/49.8328865456397)^vstupy!S111)*vstupy!S103*$I$5,0)</f>
        <v>682</v>
      </c>
      <c r="T61" s="13">
        <f>ROUND((((($C$5-$D$5)/(LN(($C$5-$E$5)/($D$5-$E$5))))/49.8328865456397)^vstupy!T111)*vstupy!T103*$I$5,0)</f>
        <v>841</v>
      </c>
      <c r="U61" s="72"/>
      <c r="V61" s="73"/>
      <c r="W61" s="73"/>
      <c r="X61" s="73"/>
      <c r="Y61" s="74"/>
      <c r="Z61" s="9">
        <v>450</v>
      </c>
      <c r="AC61" s="9">
        <v>450</v>
      </c>
      <c r="AD61" s="12">
        <f>ROUND((vstupy!C103*POWER($F$5/50,vstupy!C111))*$I$5,0)</f>
        <v>287</v>
      </c>
      <c r="AE61" s="13">
        <f>ROUND((vstupy!D103*POWER($F$5/50,vstupy!D111))*$I$5,0)</f>
        <v>369</v>
      </c>
      <c r="AF61" s="13">
        <f>ROUND((vstupy!E103*POWER($F$5/50,vstupy!E111))*$I$5,0)</f>
        <v>504</v>
      </c>
      <c r="AG61" s="13">
        <f>ROUND((vstupy!F103*POWER($F$5/50,vstupy!F111))*$I$5,0)</f>
        <v>626</v>
      </c>
      <c r="AH61" s="14">
        <f>ROUND((vstupy!G103*POWER($F$5/50,vstupy!G111))*$I$5,0)</f>
        <v>772</v>
      </c>
      <c r="AI61" s="12">
        <f>ROUND((vstupy!H103*POWER($F$5/50,vstupy!H111))*$I$5,0)</f>
        <v>287</v>
      </c>
      <c r="AJ61" s="13">
        <f>ROUND((vstupy!I103*POWER($F$5/50,vstupy!I111))*$I$5,0)</f>
        <v>369</v>
      </c>
      <c r="AK61" s="13">
        <f>ROUND((vstupy!J103*POWER($F$5/50,vstupy!J111))*$I$5,0)</f>
        <v>504</v>
      </c>
      <c r="AL61" s="13">
        <f>ROUND((vstupy!K103*POWER($F$5/50,vstupy!K111))*$I$5,0)</f>
        <v>626</v>
      </c>
      <c r="AM61" s="14">
        <f>ROUND((vstupy!L103*POWER($F$5/50,vstupy!L111))*$I$5,0)</f>
        <v>772</v>
      </c>
      <c r="AN61" s="9">
        <v>450</v>
      </c>
      <c r="AP61" s="9">
        <v>450</v>
      </c>
      <c r="AQ61" s="12">
        <f>ROUND((vstupy!P103*POWER($F$5/50,vstupy!P111))*$I$5,0)</f>
        <v>312</v>
      </c>
      <c r="AR61" s="13">
        <f>ROUND((vstupy!Q103*POWER($F$5/50,vstupy!Q111))*$I$5,0)</f>
        <v>402</v>
      </c>
      <c r="AS61" s="13">
        <f>ROUND((vstupy!R103*POWER($F$5/50,vstupy!R111))*$I$5,0)</f>
        <v>549</v>
      </c>
      <c r="AT61" s="13">
        <f>ROUND((vstupy!S103*POWER($F$5/50,vstupy!S111))*$I$5,0)</f>
        <v>682</v>
      </c>
      <c r="AU61" s="13">
        <f>ROUND((vstupy!T103*POWER($F$5/50,vstupy!T111))*$I$5,0)</f>
        <v>841</v>
      </c>
      <c r="AV61" s="72"/>
      <c r="AW61" s="73"/>
      <c r="AX61" s="73"/>
      <c r="AY61" s="73"/>
      <c r="AZ61" s="74"/>
      <c r="BA61" s="9">
        <v>450</v>
      </c>
    </row>
    <row r="62" spans="2:53" ht="13.5" customHeight="1" x14ac:dyDescent="0.25">
      <c r="B62" s="168">
        <v>500</v>
      </c>
      <c r="C62" s="12">
        <f>ROUND((((($C$5-$D$5)/(LN(($C$5-$E$5)/($D$5-$E$5))))/49.8328865456397)^vstupy!C112)*vstupy!C104*$I$5,0)</f>
        <v>315</v>
      </c>
      <c r="D62" s="13">
        <f>ROUND((((($C$5-$D$5)/(LN(($C$5-$E$5)/($D$5-$E$5))))/49.8328865456397)^vstupy!D112)*vstupy!D104*$I$5,0)</f>
        <v>405</v>
      </c>
      <c r="E62" s="13">
        <f>ROUND((((($C$5-$D$5)/(LN(($C$5-$E$5)/($D$5-$E$5))))/49.8328865456397)^vstupy!E112)*vstupy!E104*$I$5,0)</f>
        <v>553</v>
      </c>
      <c r="F62" s="13">
        <f>ROUND((((($C$5-$D$5)/(LN(($C$5-$E$5)/($D$5-$E$5))))/49.8328865456397)^vstupy!F112)*vstupy!F104*$I$5,0)</f>
        <v>687</v>
      </c>
      <c r="G62" s="14">
        <f>ROUND((((($C$5-$D$5)/(LN(($C$5-$E$5)/($D$5-$E$5))))/49.8328865456397)^vstupy!G112)*vstupy!G104*$I$5,0)</f>
        <v>848</v>
      </c>
      <c r="H62" s="12">
        <f>ROUND((((($C$5-$D$5)/(LN(($C$5-$E$5)/($D$5-$E$5))))/49.8328865456397)^vstupy!H112)*vstupy!H104*$I$5,0)</f>
        <v>315</v>
      </c>
      <c r="I62" s="13">
        <f>ROUND((((($C$5-$D$5)/(LN(($C$5-$E$5)/($D$5-$E$5))))/49.8328865456397)^vstupy!I112)*vstupy!I104*$I$5,0)</f>
        <v>405</v>
      </c>
      <c r="J62" s="13">
        <f>ROUND((((($C$5-$D$5)/(LN(($C$5-$E$5)/($D$5-$E$5))))/49.8328865456397)^vstupy!J112)*vstupy!J104*$I$5,0)</f>
        <v>553</v>
      </c>
      <c r="K62" s="13">
        <f>ROUND((((($C$5-$D$5)/(LN(($C$5-$E$5)/($D$5-$E$5))))/49.8328865456397)^vstupy!K112)*vstupy!K104*$I$5,0)</f>
        <v>687</v>
      </c>
      <c r="L62" s="14">
        <f>ROUND((((($C$5-$D$5)/(LN(($C$5-$E$5)/($D$5-$E$5))))/49.8328865456397)^vstupy!L112)*vstupy!L104*$I$5,0)</f>
        <v>848</v>
      </c>
      <c r="M62" s="168">
        <v>500</v>
      </c>
      <c r="O62" s="168">
        <v>500</v>
      </c>
      <c r="P62" s="12">
        <f>ROUND((((($C$5-$D$5)/(LN(($C$5-$E$5)/($D$5-$E$5))))/49.8328865456397)^vstupy!P112)*vstupy!P104*$I$5,0)</f>
        <v>342</v>
      </c>
      <c r="Q62" s="13">
        <f>ROUND((((($C$5-$D$5)/(LN(($C$5-$E$5)/($D$5-$E$5))))/49.8328865456397)^vstupy!Q112)*vstupy!Q104*$I$5,0)</f>
        <v>440</v>
      </c>
      <c r="R62" s="13">
        <f>ROUND((((($C$5-$D$5)/(LN(($C$5-$E$5)/($D$5-$E$5))))/49.8328865456397)^vstupy!R112)*vstupy!R104*$I$5,0)</f>
        <v>601</v>
      </c>
      <c r="S62" s="13">
        <f>ROUND((((($C$5-$D$5)/(LN(($C$5-$E$5)/($D$5-$E$5))))/49.8328865456397)^vstupy!S112)*vstupy!S104*$I$5,0)</f>
        <v>747</v>
      </c>
      <c r="T62" s="208">
        <f>ROUND((((($C$5-$D$5)/(LN(($C$5-$E$5)/($D$5-$E$5))))/49.8328865456397)^vstupy!T112)*vstupy!T104*$I$5,0)</f>
        <v>921</v>
      </c>
      <c r="U62" s="169"/>
      <c r="V62" s="170"/>
      <c r="W62" s="170"/>
      <c r="X62" s="170"/>
      <c r="Y62" s="171"/>
      <c r="Z62" s="168">
        <v>500</v>
      </c>
      <c r="AC62" s="168">
        <v>500</v>
      </c>
      <c r="AD62" s="12">
        <f>ROUND((vstupy!C104*POWER($F$5/50,vstupy!C112))*$I$5,0)</f>
        <v>315</v>
      </c>
      <c r="AE62" s="13">
        <f>ROUND((vstupy!D104*POWER($F$5/50,vstupy!D112))*$I$5,0)</f>
        <v>405</v>
      </c>
      <c r="AF62" s="13">
        <f>ROUND((vstupy!E104*POWER($F$5/50,vstupy!E112))*$I$5,0)</f>
        <v>553</v>
      </c>
      <c r="AG62" s="13">
        <f>ROUND((vstupy!F104*POWER($F$5/50,vstupy!F112))*$I$5,0)</f>
        <v>687</v>
      </c>
      <c r="AH62" s="14">
        <f>ROUND((vstupy!G104*POWER($F$5/50,vstupy!G112))*$I$5,0)</f>
        <v>848</v>
      </c>
      <c r="AI62" s="12">
        <f>ROUND((vstupy!H104*POWER($F$5/50,vstupy!H112))*$I$5,0)</f>
        <v>315</v>
      </c>
      <c r="AJ62" s="13">
        <f>ROUND((vstupy!I104*POWER($F$5/50,vstupy!I112))*$I$5,0)</f>
        <v>405</v>
      </c>
      <c r="AK62" s="13">
        <f>ROUND((vstupy!J104*POWER($F$5/50,vstupy!J112))*$I$5,0)</f>
        <v>553</v>
      </c>
      <c r="AL62" s="13">
        <f>ROUND((vstupy!K104*POWER($F$5/50,vstupy!K112))*$I$5,0)</f>
        <v>687</v>
      </c>
      <c r="AM62" s="14">
        <f>ROUND((vstupy!L104*POWER($F$5/50,vstupy!L112))*$I$5,0)</f>
        <v>848</v>
      </c>
      <c r="AN62" s="168">
        <v>500</v>
      </c>
      <c r="AP62" s="168">
        <v>500</v>
      </c>
      <c r="AQ62" s="12">
        <f>ROUND((vstupy!P104*POWER($F$5/50,vstupy!P112))*$I$5,0)</f>
        <v>342</v>
      </c>
      <c r="AR62" s="13">
        <f>ROUND((vstupy!Q104*POWER($F$5/50,vstupy!Q112))*$I$5,0)</f>
        <v>440</v>
      </c>
      <c r="AS62" s="13">
        <f>ROUND((vstupy!R104*POWER($F$5/50,vstupy!R112))*$I$5,0)</f>
        <v>601</v>
      </c>
      <c r="AT62" s="13">
        <f>ROUND((vstupy!S104*POWER($F$5/50,vstupy!S112))*$I$5,0)</f>
        <v>747</v>
      </c>
      <c r="AU62" s="208">
        <f>ROUND((vstupy!T104*POWER($F$5/50,vstupy!T112))*$I$5,0)</f>
        <v>921</v>
      </c>
      <c r="AV62" s="169"/>
      <c r="AW62" s="170"/>
      <c r="AX62" s="170"/>
      <c r="AY62" s="170"/>
      <c r="AZ62" s="171"/>
      <c r="BA62" s="168">
        <v>500</v>
      </c>
    </row>
    <row r="63" spans="2:53" ht="13.5" customHeight="1" x14ac:dyDescent="0.25">
      <c r="B63" s="10">
        <v>600</v>
      </c>
      <c r="C63" s="2">
        <f>ROUND((((($C$5-$D$5)/(LN(($C$5-$E$5)/($D$5-$E$5))))/49.8328865456397)^vstupy!C113)*vstupy!C105*$I$5,0)</f>
        <v>370</v>
      </c>
      <c r="D63" s="1">
        <f>ROUND((((($C$5-$D$5)/(LN(($C$5-$E$5)/($D$5-$E$5))))/49.8328865456397)^vstupy!D113)*vstupy!D105*$I$5,0)</f>
        <v>475</v>
      </c>
      <c r="E63" s="1">
        <f>ROUND((((($C$5-$D$5)/(LN(($C$5-$E$5)/($D$5-$E$5))))/49.8328865456397)^vstupy!E113)*vstupy!E105*$I$5,0)</f>
        <v>650</v>
      </c>
      <c r="F63" s="1">
        <f>ROUND((((($C$5-$D$5)/(LN(($C$5-$E$5)/($D$5-$E$5))))/49.8328865456397)^vstupy!F113)*vstupy!F105*$I$5,0)</f>
        <v>808</v>
      </c>
      <c r="G63" s="3">
        <f>ROUND((((($C$5-$D$5)/(LN(($C$5-$E$5)/($D$5-$E$5))))/49.8328865456397)^vstupy!G113)*vstupy!G105*$I$5,0)</f>
        <v>996</v>
      </c>
      <c r="H63" s="2">
        <f>ROUND((((($C$5-$D$5)/(LN(($C$5-$E$5)/($D$5-$E$5))))/49.8328865456397)^vstupy!H113)*vstupy!H105*$I$5,0)</f>
        <v>370</v>
      </c>
      <c r="I63" s="1">
        <f>ROUND((((($C$5-$D$5)/(LN(($C$5-$E$5)/($D$5-$E$5))))/49.8328865456397)^vstupy!I113)*vstupy!I105*$I$5,0)</f>
        <v>475</v>
      </c>
      <c r="J63" s="1">
        <f>ROUND((((($C$5-$D$5)/(LN(($C$5-$E$5)/($D$5-$E$5))))/49.8328865456397)^vstupy!J113)*vstupy!J105*$I$5,0)</f>
        <v>650</v>
      </c>
      <c r="K63" s="1">
        <f>ROUND((((($C$5-$D$5)/(LN(($C$5-$E$5)/($D$5-$E$5))))/49.8328865456397)^vstupy!K113)*vstupy!K105*$I$5,0)</f>
        <v>808</v>
      </c>
      <c r="L63" s="3">
        <f>ROUND((((($C$5-$D$5)/(LN(($C$5-$E$5)/($D$5-$E$5))))/49.8328865456397)^vstupy!L113)*vstupy!L105*$I$5,0)</f>
        <v>996</v>
      </c>
      <c r="M63" s="10">
        <v>600</v>
      </c>
      <c r="O63" s="10">
        <v>600</v>
      </c>
      <c r="P63" s="2">
        <f>ROUND((((($C$5-$D$5)/(LN(($C$5-$E$5)/($D$5-$E$5))))/49.8328865456397)^vstupy!P113)*vstupy!P105*$I$5,0)</f>
        <v>400</v>
      </c>
      <c r="Q63" s="1">
        <f>ROUND((((($C$5-$D$5)/(LN(($C$5-$E$5)/($D$5-$E$5))))/49.8328865456397)^vstupy!Q113)*vstupy!Q105*$I$5,0)</f>
        <v>515</v>
      </c>
      <c r="R63" s="1">
        <f>ROUND((((($C$5-$D$5)/(LN(($C$5-$E$5)/($D$5-$E$5))))/49.8328865456397)^vstupy!R113)*vstupy!R105*$I$5,0)</f>
        <v>703</v>
      </c>
      <c r="S63" s="1">
        <f>ROUND((((($C$5-$D$5)/(LN(($C$5-$E$5)/($D$5-$E$5))))/49.8328865456397)^vstupy!S113)*vstupy!S105*$I$5,0)</f>
        <v>874</v>
      </c>
      <c r="T63" s="3">
        <f>ROUND((((($C$5-$D$5)/(LN(($C$5-$E$5)/($D$5-$E$5))))/49.8328865456397)^vstupy!T113)*vstupy!T105*$I$5,0)</f>
        <v>1078</v>
      </c>
      <c r="U63" s="75"/>
      <c r="V63" s="76"/>
      <c r="W63" s="76"/>
      <c r="X63" s="76"/>
      <c r="Y63" s="77"/>
      <c r="Z63" s="10">
        <v>600</v>
      </c>
      <c r="AC63" s="10">
        <v>600</v>
      </c>
      <c r="AD63" s="2">
        <f>ROUND((vstupy!C105*POWER($F$5/50,vstupy!C113))*$I$5,0)</f>
        <v>370</v>
      </c>
      <c r="AE63" s="1">
        <f>ROUND((vstupy!D105*POWER($F$5/50,vstupy!D113))*$I$5,0)</f>
        <v>475</v>
      </c>
      <c r="AF63" s="1">
        <f>ROUND((vstupy!E105*POWER($F$5/50,vstupy!E113))*$I$5,0)</f>
        <v>650</v>
      </c>
      <c r="AG63" s="1">
        <f>ROUND((vstupy!F105*POWER($F$5/50,vstupy!F113))*$I$5,0)</f>
        <v>808</v>
      </c>
      <c r="AH63" s="3">
        <f>ROUND((vstupy!G105*POWER($F$5/50,vstupy!G113))*$I$5,0)</f>
        <v>996</v>
      </c>
      <c r="AI63" s="2">
        <f>ROUND((vstupy!H105*POWER($F$5/50,vstupy!H113))*$I$5,0)</f>
        <v>370</v>
      </c>
      <c r="AJ63" s="1">
        <f>ROUND((vstupy!I105*POWER($F$5/50,vstupy!I113))*$I$5,0)</f>
        <v>475</v>
      </c>
      <c r="AK63" s="1">
        <f>ROUND((vstupy!J105*POWER($F$5/50,vstupy!J113))*$I$5,0)</f>
        <v>650</v>
      </c>
      <c r="AL63" s="1">
        <f>ROUND((vstupy!K105*POWER($F$5/50,vstupy!K113))*$I$5,0)</f>
        <v>808</v>
      </c>
      <c r="AM63" s="3">
        <f>ROUND((vstupy!L105*POWER($F$5/50,vstupy!L113))*$I$5,0)</f>
        <v>996</v>
      </c>
      <c r="AN63" s="10">
        <v>600</v>
      </c>
      <c r="AP63" s="10">
        <v>600</v>
      </c>
      <c r="AQ63" s="2">
        <f>ROUND((vstupy!P105*POWER($F$5/50,vstupy!P113))*$I$5,0)</f>
        <v>400</v>
      </c>
      <c r="AR63" s="1">
        <f>ROUND((vstupy!Q105*POWER($F$5/50,vstupy!Q113))*$I$5,0)</f>
        <v>515</v>
      </c>
      <c r="AS63" s="1">
        <f>ROUND((vstupy!R105*POWER($F$5/50,vstupy!R113))*$I$5,0)</f>
        <v>703</v>
      </c>
      <c r="AT63" s="1">
        <f>ROUND((vstupy!S105*POWER($F$5/50,vstupy!S113))*$I$5,0)</f>
        <v>874</v>
      </c>
      <c r="AU63" s="3">
        <f>ROUND((vstupy!T105*POWER($F$5/50,vstupy!T113))*$I$5,0)</f>
        <v>1078</v>
      </c>
      <c r="AV63" s="75"/>
      <c r="AW63" s="76"/>
      <c r="AX63" s="76"/>
      <c r="AY63" s="76"/>
      <c r="AZ63" s="77"/>
      <c r="BA63" s="10">
        <v>600</v>
      </c>
    </row>
    <row r="64" spans="2:53" ht="13.5" customHeight="1" thickBot="1" x14ac:dyDescent="0.3">
      <c r="B64" s="11">
        <v>750</v>
      </c>
      <c r="C64" s="4">
        <f>ROUND((((($C$5-$D$5)/(LN(($C$5-$E$5)/($D$5-$E$5))))/49.8328865456397)^vstupy!C114)*vstupy!C106*$I$5,0)</f>
        <v>450</v>
      </c>
      <c r="D64" s="5">
        <f>ROUND((((($C$5-$D$5)/(LN(($C$5-$E$5)/($D$5-$E$5))))/49.8328865456397)^vstupy!D114)*vstupy!D106*$I$5,0)</f>
        <v>579</v>
      </c>
      <c r="E64" s="5">
        <f>ROUND((((($C$5-$D$5)/(LN(($C$5-$E$5)/($D$5-$E$5))))/49.8328865456397)^vstupy!E114)*vstupy!E106*$I$5,0)</f>
        <v>791</v>
      </c>
      <c r="F64" s="5">
        <f>ROUND((((($C$5-$D$5)/(LN(($C$5-$E$5)/($D$5-$E$5))))/49.8328865456397)^vstupy!F114)*vstupy!F106*$I$5,0)</f>
        <v>984</v>
      </c>
      <c r="G64" s="6">
        <f>ROUND((((($C$5-$D$5)/(LN(($C$5-$E$5)/($D$5-$E$5))))/49.8328865456397)^vstupy!G114)*vstupy!G106*$I$5,0)</f>
        <v>1213</v>
      </c>
      <c r="H64" s="4">
        <f>ROUND((((($C$5-$D$5)/(LN(($C$5-$E$5)/($D$5-$E$5))))/49.8328865456397)^vstupy!H114)*vstupy!H106*$I$5,0)</f>
        <v>450</v>
      </c>
      <c r="I64" s="5">
        <f>ROUND((((($C$5-$D$5)/(LN(($C$5-$E$5)/($D$5-$E$5))))/49.8328865456397)^vstupy!I114)*vstupy!I106*$I$5,0)</f>
        <v>579</v>
      </c>
      <c r="J64" s="5">
        <f>ROUND((((($C$5-$D$5)/(LN(($C$5-$E$5)/($D$5-$E$5))))/49.8328865456397)^vstupy!J114)*vstupy!J106*$I$5,0)</f>
        <v>791</v>
      </c>
      <c r="K64" s="5">
        <f>ROUND((((($C$5-$D$5)/(LN(($C$5-$E$5)/($D$5-$E$5))))/49.8328865456397)^vstupy!K114)*vstupy!K106*$I$5,0)</f>
        <v>984</v>
      </c>
      <c r="L64" s="6">
        <f>ROUND((((($C$5-$D$5)/(LN(($C$5-$E$5)/($D$5-$E$5))))/49.8328865456397)^vstupy!L114)*vstupy!L106*$I$5,0)</f>
        <v>1213</v>
      </c>
      <c r="M64" s="11">
        <v>750</v>
      </c>
      <c r="O64" s="11">
        <v>750</v>
      </c>
      <c r="P64" s="4">
        <f>ROUND((((($C$5-$D$5)/(LN(($C$5-$E$5)/($D$5-$E$5))))/49.8328865456397)^vstupy!P114)*vstupy!P106*$I$5,0)</f>
        <v>485</v>
      </c>
      <c r="Q64" s="5">
        <f>ROUND((((($C$5-$D$5)/(LN(($C$5-$E$5)/($D$5-$E$5))))/49.8328865456397)^vstupy!Q114)*vstupy!Q106*$I$5,0)</f>
        <v>624</v>
      </c>
      <c r="R64" s="5">
        <f>ROUND((((($C$5-$D$5)/(LN(($C$5-$E$5)/($D$5-$E$5))))/49.8328865456397)^vstupy!R114)*vstupy!R106*$I$5,0)</f>
        <v>852</v>
      </c>
      <c r="S64" s="5">
        <f>ROUND((((($C$5-$D$5)/(LN(($C$5-$E$5)/($D$5-$E$5))))/49.8328865456397)^vstupy!S114)*vstupy!S106*$I$5,0)</f>
        <v>1060</v>
      </c>
      <c r="T64" s="6">
        <f>ROUND((((($C$5-$D$5)/(LN(($C$5-$E$5)/($D$5-$E$5))))/49.8328865456397)^vstupy!T114)*vstupy!T106*$I$5,0)</f>
        <v>1307</v>
      </c>
      <c r="U64" s="78"/>
      <c r="V64" s="79"/>
      <c r="W64" s="79"/>
      <c r="X64" s="79"/>
      <c r="Y64" s="80"/>
      <c r="Z64" s="11">
        <v>750</v>
      </c>
      <c r="AC64" s="11">
        <v>750</v>
      </c>
      <c r="AD64" s="4">
        <f>ROUND((vstupy!C106*POWER($F$5/50,vstupy!C114))*$I$5,0)</f>
        <v>450</v>
      </c>
      <c r="AE64" s="5">
        <f>ROUND((vstupy!D106*POWER($F$5/50,vstupy!D114))*$I$5,0)</f>
        <v>579</v>
      </c>
      <c r="AF64" s="5">
        <f>ROUND((vstupy!E106*POWER($F$5/50,vstupy!E114))*$I$5,0)</f>
        <v>791</v>
      </c>
      <c r="AG64" s="5">
        <f>ROUND((vstupy!F106*POWER($F$5/50,vstupy!F114))*$I$5,0)</f>
        <v>984</v>
      </c>
      <c r="AH64" s="6">
        <f>ROUND((vstupy!G106*POWER($F$5/50,vstupy!G114))*$I$5,0)</f>
        <v>1213</v>
      </c>
      <c r="AI64" s="4">
        <f>ROUND((vstupy!H106*POWER($F$5/50,vstupy!H114))*$I$5,0)</f>
        <v>450</v>
      </c>
      <c r="AJ64" s="5">
        <f>ROUND((vstupy!I106*POWER($F$5/50,vstupy!I114))*$I$5,0)</f>
        <v>579</v>
      </c>
      <c r="AK64" s="5">
        <f>ROUND((vstupy!J106*POWER($F$5/50,vstupy!J114))*$I$5,0)</f>
        <v>791</v>
      </c>
      <c r="AL64" s="5">
        <f>ROUND((vstupy!K106*POWER($F$5/50,vstupy!K114))*$I$5,0)</f>
        <v>984</v>
      </c>
      <c r="AM64" s="6">
        <f>ROUND((vstupy!L106*POWER($F$5/50,vstupy!L114))*$I$5,0)</f>
        <v>1213</v>
      </c>
      <c r="AN64" s="11">
        <v>750</v>
      </c>
      <c r="AP64" s="11">
        <v>750</v>
      </c>
      <c r="AQ64" s="4">
        <f>ROUND((vstupy!P106*POWER($F$5/50,vstupy!P114))*$I$5,0)</f>
        <v>485</v>
      </c>
      <c r="AR64" s="5">
        <f>ROUND((vstupy!Q106*POWER($F$5/50,vstupy!Q114))*$I$5,0)</f>
        <v>624</v>
      </c>
      <c r="AS64" s="5">
        <f>ROUND((vstupy!R106*POWER($F$5/50,vstupy!R114))*$I$5,0)</f>
        <v>852</v>
      </c>
      <c r="AT64" s="5">
        <f>ROUND((vstupy!S106*POWER($F$5/50,vstupy!S114))*$I$5,0)</f>
        <v>1060</v>
      </c>
      <c r="AU64" s="6">
        <f>ROUND((vstupy!T106*POWER($F$5/50,vstupy!T114))*$I$5,0)</f>
        <v>1307</v>
      </c>
      <c r="AV64" s="78"/>
      <c r="AW64" s="79"/>
      <c r="AX64" s="79"/>
      <c r="AY64" s="79"/>
      <c r="AZ64" s="80"/>
      <c r="BA64" s="11">
        <v>750</v>
      </c>
    </row>
    <row r="65" spans="2:53" ht="15.75" thickBot="1" x14ac:dyDescent="0.3"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</row>
    <row r="66" spans="2:53" ht="15" customHeight="1" thickBot="1" x14ac:dyDescent="0.3">
      <c r="B66" s="34"/>
      <c r="C66" s="35" t="s">
        <v>14</v>
      </c>
      <c r="D66" s="36"/>
      <c r="E66" s="36"/>
      <c r="F66" s="36"/>
      <c r="G66" s="36"/>
      <c r="H66" s="35" t="s">
        <v>15</v>
      </c>
      <c r="I66" s="36"/>
      <c r="J66" s="36"/>
      <c r="K66" s="36"/>
      <c r="L66" s="37"/>
      <c r="M66" s="34"/>
      <c r="O66" s="34"/>
      <c r="P66" s="35" t="s">
        <v>14</v>
      </c>
      <c r="Q66" s="36"/>
      <c r="R66" s="36"/>
      <c r="S66" s="36"/>
      <c r="T66" s="36"/>
      <c r="U66" s="35" t="s">
        <v>15</v>
      </c>
      <c r="V66" s="36"/>
      <c r="W66" s="36"/>
      <c r="X66" s="36"/>
      <c r="Y66" s="37"/>
      <c r="Z66" s="34"/>
      <c r="AC66" s="34"/>
      <c r="AD66" s="35" t="s">
        <v>14</v>
      </c>
      <c r="AE66" s="36"/>
      <c r="AF66" s="36"/>
      <c r="AG66" s="36"/>
      <c r="AH66" s="36"/>
      <c r="AI66" s="35" t="s">
        <v>15</v>
      </c>
      <c r="AJ66" s="36"/>
      <c r="AK66" s="36"/>
      <c r="AL66" s="36"/>
      <c r="AM66" s="37"/>
      <c r="AN66" s="34"/>
      <c r="AP66" s="34"/>
      <c r="AQ66" s="35" t="s">
        <v>14</v>
      </c>
      <c r="AR66" s="36"/>
      <c r="AS66" s="36"/>
      <c r="AT66" s="36"/>
      <c r="AU66" s="36"/>
      <c r="AV66" s="35" t="s">
        <v>15</v>
      </c>
      <c r="AW66" s="36"/>
      <c r="AX66" s="36"/>
      <c r="AY66" s="36"/>
      <c r="AZ66" s="37"/>
      <c r="BA66" s="34"/>
    </row>
    <row r="67" spans="2:53" ht="15" customHeight="1" x14ac:dyDescent="0.25">
      <c r="B67" s="7" t="s">
        <v>9</v>
      </c>
      <c r="C67" s="38" t="s">
        <v>10</v>
      </c>
      <c r="D67" s="39"/>
      <c r="E67" s="39"/>
      <c r="F67" s="39"/>
      <c r="G67" s="40"/>
      <c r="H67" s="38" t="s">
        <v>10</v>
      </c>
      <c r="I67" s="39"/>
      <c r="J67" s="39"/>
      <c r="K67" s="39"/>
      <c r="L67" s="40"/>
      <c r="M67" s="7" t="s">
        <v>9</v>
      </c>
      <c r="O67" s="7" t="s">
        <v>9</v>
      </c>
      <c r="P67" s="38" t="s">
        <v>10</v>
      </c>
      <c r="Q67" s="39"/>
      <c r="R67" s="39"/>
      <c r="S67" s="39"/>
      <c r="T67" s="40"/>
      <c r="U67" s="38" t="s">
        <v>10</v>
      </c>
      <c r="V67" s="39"/>
      <c r="W67" s="39"/>
      <c r="X67" s="39"/>
      <c r="Y67" s="40"/>
      <c r="Z67" s="7" t="s">
        <v>9</v>
      </c>
      <c r="AC67" s="7" t="s">
        <v>9</v>
      </c>
      <c r="AD67" s="38" t="s">
        <v>10</v>
      </c>
      <c r="AE67" s="39"/>
      <c r="AF67" s="39"/>
      <c r="AG67" s="39"/>
      <c r="AH67" s="40"/>
      <c r="AI67" s="38" t="s">
        <v>10</v>
      </c>
      <c r="AJ67" s="39"/>
      <c r="AK67" s="39"/>
      <c r="AL67" s="39"/>
      <c r="AM67" s="40"/>
      <c r="AN67" s="7" t="s">
        <v>9</v>
      </c>
      <c r="AP67" s="7" t="s">
        <v>9</v>
      </c>
      <c r="AQ67" s="38" t="s">
        <v>10</v>
      </c>
      <c r="AR67" s="39"/>
      <c r="AS67" s="39"/>
      <c r="AT67" s="39"/>
      <c r="AU67" s="40"/>
      <c r="AV67" s="38" t="s">
        <v>10</v>
      </c>
      <c r="AW67" s="39"/>
      <c r="AX67" s="39"/>
      <c r="AY67" s="39"/>
      <c r="AZ67" s="40"/>
      <c r="BA67" s="7" t="s">
        <v>9</v>
      </c>
    </row>
    <row r="68" spans="2:53" ht="15" customHeight="1" thickBot="1" x14ac:dyDescent="0.3">
      <c r="B68" s="8" t="s">
        <v>11</v>
      </c>
      <c r="C68" s="15">
        <v>700</v>
      </c>
      <c r="D68" s="16">
        <v>900</v>
      </c>
      <c r="E68" s="16">
        <v>1220</v>
      </c>
      <c r="F68" s="16">
        <v>1500</v>
      </c>
      <c r="G68" s="17">
        <v>1820</v>
      </c>
      <c r="H68" s="15">
        <v>700</v>
      </c>
      <c r="I68" s="16">
        <v>900</v>
      </c>
      <c r="J68" s="16">
        <v>1220</v>
      </c>
      <c r="K68" s="16">
        <v>1500</v>
      </c>
      <c r="L68" s="17">
        <v>1820</v>
      </c>
      <c r="M68" s="8" t="s">
        <v>11</v>
      </c>
      <c r="O68" s="8" t="s">
        <v>11</v>
      </c>
      <c r="P68" s="15">
        <v>700</v>
      </c>
      <c r="Q68" s="16">
        <v>900</v>
      </c>
      <c r="R68" s="16">
        <v>1220</v>
      </c>
      <c r="S68" s="16">
        <v>1500</v>
      </c>
      <c r="T68" s="17">
        <v>1820</v>
      </c>
      <c r="U68" s="15">
        <v>700</v>
      </c>
      <c r="V68" s="16">
        <v>900</v>
      </c>
      <c r="W68" s="16">
        <v>1220</v>
      </c>
      <c r="X68" s="16">
        <v>1500</v>
      </c>
      <c r="Y68" s="17">
        <v>1820</v>
      </c>
      <c r="Z68" s="8" t="s">
        <v>11</v>
      </c>
      <c r="AC68" s="8" t="s">
        <v>11</v>
      </c>
      <c r="AD68" s="15">
        <v>700</v>
      </c>
      <c r="AE68" s="16">
        <v>900</v>
      </c>
      <c r="AF68" s="16">
        <v>1220</v>
      </c>
      <c r="AG68" s="16">
        <v>1500</v>
      </c>
      <c r="AH68" s="17">
        <v>1820</v>
      </c>
      <c r="AI68" s="15">
        <v>700</v>
      </c>
      <c r="AJ68" s="16">
        <v>900</v>
      </c>
      <c r="AK68" s="16">
        <v>1220</v>
      </c>
      <c r="AL68" s="16">
        <v>1500</v>
      </c>
      <c r="AM68" s="17">
        <v>1820</v>
      </c>
      <c r="AN68" s="8" t="s">
        <v>11</v>
      </c>
      <c r="AP68" s="8" t="s">
        <v>11</v>
      </c>
      <c r="AQ68" s="15">
        <v>700</v>
      </c>
      <c r="AR68" s="16">
        <v>900</v>
      </c>
      <c r="AS68" s="16">
        <v>1220</v>
      </c>
      <c r="AT68" s="16">
        <v>1500</v>
      </c>
      <c r="AU68" s="17">
        <v>1820</v>
      </c>
      <c r="AV68" s="15">
        <v>700</v>
      </c>
      <c r="AW68" s="16">
        <v>900</v>
      </c>
      <c r="AX68" s="16">
        <v>1220</v>
      </c>
      <c r="AY68" s="16">
        <v>1500</v>
      </c>
      <c r="AZ68" s="17">
        <v>1820</v>
      </c>
      <c r="BA68" s="8" t="s">
        <v>11</v>
      </c>
    </row>
    <row r="69" spans="2:53" ht="13.5" customHeight="1" x14ac:dyDescent="0.25">
      <c r="B69" s="9">
        <v>450</v>
      </c>
      <c r="C69" s="12">
        <f>ROUND((((($C$5-$D$5)/(LN(($C$5-$E$5)/($D$5-$E$5))))/49.8328865456397)^vstupy!C127)*vstupy!C119*$I$5,0)</f>
        <v>255</v>
      </c>
      <c r="D69" s="13">
        <f>ROUND((((($C$5-$D$5)/(LN(($C$5-$E$5)/($D$5-$E$5))))/49.8328865456397)^vstupy!D127)*vstupy!D119*$I$5,0)</f>
        <v>333</v>
      </c>
      <c r="E69" s="13">
        <f>ROUND((((($C$5-$D$5)/(LN(($C$5-$E$5)/($D$5-$E$5))))/49.8328865456397)^vstupy!E127)*vstupy!E119*$I$5,0)</f>
        <v>462</v>
      </c>
      <c r="F69" s="13">
        <f>ROUND((((($C$5-$D$5)/(LN(($C$5-$E$5)/($D$5-$E$5))))/49.8328865456397)^vstupy!F127)*vstupy!F119*$I$5,0)</f>
        <v>581</v>
      </c>
      <c r="G69" s="14">
        <f>ROUND((((($C$5-$D$5)/(LN(($C$5-$E$5)/($D$5-$E$5))))/49.8328865456397)^vstupy!G127)*vstupy!G119*$I$5,0)</f>
        <v>725</v>
      </c>
      <c r="H69" s="12">
        <f>ROUND((((($C$5-$D$5)/(LN(($C$5-$E$5)/($D$5-$E$5))))/49.8328865456397)^vstupy!H127)*vstupy!H119*$I$5,0)</f>
        <v>255</v>
      </c>
      <c r="I69" s="13">
        <f>ROUND((((($C$5-$D$5)/(LN(($C$5-$E$5)/($D$5-$E$5))))/49.8328865456397)^vstupy!I127)*vstupy!I119*$I$5,0)</f>
        <v>333</v>
      </c>
      <c r="J69" s="13">
        <f>ROUND((((($C$5-$D$5)/(LN(($C$5-$E$5)/($D$5-$E$5))))/49.8328865456397)^vstupy!J127)*vstupy!J119*$I$5,0)</f>
        <v>462</v>
      </c>
      <c r="K69" s="13">
        <f>ROUND((((($C$5-$D$5)/(LN(($C$5-$E$5)/($D$5-$E$5))))/49.8328865456397)^vstupy!K127)*vstupy!K119*$I$5,0)</f>
        <v>581</v>
      </c>
      <c r="L69" s="14">
        <f>ROUND((((($C$5-$D$5)/(LN(($C$5-$E$5)/($D$5-$E$5))))/49.8328865456397)^vstupy!L127)*vstupy!L119*$I$5,0)</f>
        <v>725</v>
      </c>
      <c r="M69" s="9">
        <v>450</v>
      </c>
      <c r="O69" s="9">
        <v>450</v>
      </c>
      <c r="P69" s="12">
        <f>ROUND((((($C$5-$D$5)/(LN(($C$5-$E$5)/($D$5-$E$5))))/49.8328865456397)^vstupy!P127)*vstupy!P119*$I$5,0)</f>
        <v>291</v>
      </c>
      <c r="Q69" s="13">
        <f>ROUND((((($C$5-$D$5)/(LN(($C$5-$E$5)/($D$5-$E$5))))/49.8328865456397)^vstupy!Q127)*vstupy!Q119*$I$5,0)</f>
        <v>378</v>
      </c>
      <c r="R69" s="13">
        <f>ROUND((((($C$5-$D$5)/(LN(($C$5-$E$5)/($D$5-$E$5))))/49.8328865456397)^vstupy!R127)*vstupy!R119*$I$5,0)</f>
        <v>519</v>
      </c>
      <c r="S69" s="13">
        <f>ROUND((((($C$5-$D$5)/(LN(($C$5-$E$5)/($D$5-$E$5))))/49.8328865456397)^vstupy!S127)*vstupy!S119*$I$5,0)</f>
        <v>643</v>
      </c>
      <c r="T69" s="13">
        <f>ROUND((((($C$5-$D$5)/(LN(($C$5-$E$5)/($D$5-$E$5))))/49.8328865456397)^vstupy!T127)*vstupy!T119*$I$5,0)</f>
        <v>786</v>
      </c>
      <c r="U69" s="72"/>
      <c r="V69" s="73"/>
      <c r="W69" s="73"/>
      <c r="X69" s="73"/>
      <c r="Y69" s="74"/>
      <c r="Z69" s="9">
        <v>450</v>
      </c>
      <c r="AC69" s="9">
        <v>450</v>
      </c>
      <c r="AD69" s="12">
        <f>ROUND((vstupy!C119*POWER($F$5/50,vstupy!C127))*$I$5,0)</f>
        <v>255</v>
      </c>
      <c r="AE69" s="13">
        <f>ROUND((vstupy!D119*POWER($F$5/50,vstupy!D127))*$I$5,0)</f>
        <v>333</v>
      </c>
      <c r="AF69" s="13">
        <f>ROUND((vstupy!E119*POWER($F$5/50,vstupy!E127))*$I$5,0)</f>
        <v>462</v>
      </c>
      <c r="AG69" s="13">
        <f>ROUND((vstupy!F119*POWER($F$5/50,vstupy!F127))*$I$5,0)</f>
        <v>581</v>
      </c>
      <c r="AH69" s="14">
        <f>ROUND((vstupy!G119*POWER($F$5/50,vstupy!G127))*$I$5,0)</f>
        <v>725</v>
      </c>
      <c r="AI69" s="12">
        <f>ROUND((vstupy!H119*POWER($F$5/50,vstupy!H127))*$I$5,0)</f>
        <v>255</v>
      </c>
      <c r="AJ69" s="13">
        <f>ROUND((vstupy!I119*POWER($F$5/50,vstupy!I127))*$I$5,0)</f>
        <v>333</v>
      </c>
      <c r="AK69" s="13">
        <f>ROUND((vstupy!J119*POWER($F$5/50,vstupy!J127))*$I$5,0)</f>
        <v>462</v>
      </c>
      <c r="AL69" s="13">
        <f>ROUND((vstupy!K119*POWER($F$5/50,vstupy!K127))*$I$5,0)</f>
        <v>581</v>
      </c>
      <c r="AM69" s="14">
        <f>ROUND((vstupy!L119*POWER($F$5/50,vstupy!L127))*$I$5,0)</f>
        <v>725</v>
      </c>
      <c r="AN69" s="9">
        <v>450</v>
      </c>
      <c r="AP69" s="9">
        <v>450</v>
      </c>
      <c r="AQ69" s="12">
        <f>ROUND((vstupy!P119*POWER($F$5/50,vstupy!P127))*$I$5,0)</f>
        <v>291</v>
      </c>
      <c r="AR69" s="13">
        <f>ROUND((vstupy!Q119*POWER($F$5/50,vstupy!Q127))*$I$5,0)</f>
        <v>378</v>
      </c>
      <c r="AS69" s="13">
        <f>ROUND((vstupy!R119*POWER($F$5/50,vstupy!R127))*$I$5,0)</f>
        <v>519</v>
      </c>
      <c r="AT69" s="13">
        <f>ROUND((vstupy!S119*POWER($F$5/50,vstupy!S127))*$I$5,0)</f>
        <v>643</v>
      </c>
      <c r="AU69" s="13">
        <f>ROUND((vstupy!T119*POWER($F$5/50,vstupy!T127))*$I$5,0)</f>
        <v>786</v>
      </c>
      <c r="AV69" s="72"/>
      <c r="AW69" s="73"/>
      <c r="AX69" s="73"/>
      <c r="AY69" s="73"/>
      <c r="AZ69" s="74"/>
      <c r="BA69" s="9">
        <v>450</v>
      </c>
    </row>
    <row r="70" spans="2:53" ht="13.5" customHeight="1" x14ac:dyDescent="0.25">
      <c r="B70" s="168">
        <v>500</v>
      </c>
      <c r="C70" s="12">
        <f>ROUND((((($C$5-$D$5)/(LN(($C$5-$E$5)/($D$5-$E$5))))/49.8328865456397)^vstupy!C128)*vstupy!C120*$I$5,0)</f>
        <v>280</v>
      </c>
      <c r="D70" s="13">
        <f>ROUND((((($C$5-$D$5)/(LN(($C$5-$E$5)/($D$5-$E$5))))/49.8328865456397)^vstupy!D128)*vstupy!D120*$I$5,0)</f>
        <v>365</v>
      </c>
      <c r="E70" s="13">
        <f>ROUND((((($C$5-$D$5)/(LN(($C$5-$E$5)/($D$5-$E$5))))/49.8328865456397)^vstupy!E128)*vstupy!E120*$I$5,0)</f>
        <v>507</v>
      </c>
      <c r="F70" s="13">
        <f>ROUND((((($C$5-$D$5)/(LN(($C$5-$E$5)/($D$5-$E$5))))/49.8328865456397)^vstupy!F128)*vstupy!F120*$I$5,0)</f>
        <v>638</v>
      </c>
      <c r="G70" s="14">
        <f>ROUND((((($C$5-$D$5)/(LN(($C$5-$E$5)/($D$5-$E$5))))/49.8328865456397)^vstupy!G128)*vstupy!G120*$I$5,0)</f>
        <v>795</v>
      </c>
      <c r="H70" s="12">
        <f>ROUND((((($C$5-$D$5)/(LN(($C$5-$E$5)/($D$5-$E$5))))/49.8328865456397)^vstupy!H128)*vstupy!H120*$I$5,0)</f>
        <v>280</v>
      </c>
      <c r="I70" s="13">
        <f>ROUND((((($C$5-$D$5)/(LN(($C$5-$E$5)/($D$5-$E$5))))/49.8328865456397)^vstupy!I128)*vstupy!I120*$I$5,0)</f>
        <v>365</v>
      </c>
      <c r="J70" s="13">
        <f>ROUND((((($C$5-$D$5)/(LN(($C$5-$E$5)/($D$5-$E$5))))/49.8328865456397)^vstupy!J128)*vstupy!J120*$I$5,0)</f>
        <v>507</v>
      </c>
      <c r="K70" s="13">
        <f>ROUND((((($C$5-$D$5)/(LN(($C$5-$E$5)/($D$5-$E$5))))/49.8328865456397)^vstupy!K128)*vstupy!K120*$I$5,0)</f>
        <v>638</v>
      </c>
      <c r="L70" s="14">
        <f>ROUND((((($C$5-$D$5)/(LN(($C$5-$E$5)/($D$5-$E$5))))/49.8328865456397)^vstupy!L128)*vstupy!L120*$I$5,0)</f>
        <v>795</v>
      </c>
      <c r="M70" s="168">
        <v>500</v>
      </c>
      <c r="O70" s="168">
        <v>500</v>
      </c>
      <c r="P70" s="12">
        <f>ROUND((((($C$5-$D$5)/(LN(($C$5-$E$5)/($D$5-$E$5))))/49.8328865456397)^vstupy!P129)*vstupy!P120*$I$5,0)</f>
        <v>318</v>
      </c>
      <c r="Q70" s="13">
        <f>ROUND((((($C$5-$D$5)/(LN(($C$5-$E$5)/($D$5-$E$5))))/49.8328865456397)^vstupy!Q129)*vstupy!Q120*$I$5,0)</f>
        <v>413</v>
      </c>
      <c r="R70" s="13">
        <f>ROUND((((($C$5-$D$5)/(LN(($C$5-$E$5)/($D$5-$E$5))))/49.8328865456397)^vstupy!R129)*vstupy!R120*$I$5,0)</f>
        <v>567</v>
      </c>
      <c r="S70" s="13">
        <f>ROUND((((($C$5-$D$5)/(LN(($C$5-$E$5)/($D$5-$E$5))))/49.8328865456397)^vstupy!S129)*vstupy!S120*$I$5,0)</f>
        <v>703</v>
      </c>
      <c r="T70" s="208">
        <f>ROUND((((($C$5-$D$5)/(LN(($C$5-$E$5)/($D$5-$E$5))))/49.8328865456397)^vstupy!T129)*vstupy!T120*$I$5,0)</f>
        <v>859</v>
      </c>
      <c r="U70" s="169"/>
      <c r="V70" s="170"/>
      <c r="W70" s="170"/>
      <c r="X70" s="170"/>
      <c r="Y70" s="171"/>
      <c r="Z70" s="168"/>
      <c r="AC70" s="168">
        <v>500</v>
      </c>
      <c r="AD70" s="12">
        <f>ROUND((vstupy!C120*POWER($F$5/50,vstupy!C128))*$I$5,0)</f>
        <v>280</v>
      </c>
      <c r="AE70" s="13">
        <f>ROUND((vstupy!D120*POWER($F$5/50,vstupy!D128))*$I$5,0)</f>
        <v>365</v>
      </c>
      <c r="AF70" s="13">
        <f>ROUND((vstupy!E120*POWER($F$5/50,vstupy!E128))*$I$5,0)</f>
        <v>507</v>
      </c>
      <c r="AG70" s="13">
        <f>ROUND((vstupy!F120*POWER($F$5/50,vstupy!F128))*$I$5,0)</f>
        <v>638</v>
      </c>
      <c r="AH70" s="14">
        <f>ROUND((vstupy!G120*POWER($F$5/50,vstupy!G128))*$I$5,0)</f>
        <v>795</v>
      </c>
      <c r="AI70" s="12">
        <f>ROUND((vstupy!H120*POWER($F$5/50,vstupy!H128))*$I$5,0)</f>
        <v>280</v>
      </c>
      <c r="AJ70" s="13">
        <f>ROUND((vstupy!I120*POWER($F$5/50,vstupy!I128))*$I$5,0)</f>
        <v>365</v>
      </c>
      <c r="AK70" s="13">
        <f>ROUND((vstupy!J120*POWER($F$5/50,vstupy!J128))*$I$5,0)</f>
        <v>507</v>
      </c>
      <c r="AL70" s="13">
        <f>ROUND((vstupy!K120*POWER($F$5/50,vstupy!K128))*$I$5,0)</f>
        <v>638</v>
      </c>
      <c r="AM70" s="14">
        <f>ROUND((vstupy!L120*POWER($F$5/50,vstupy!L128))*$I$5,0)</f>
        <v>795</v>
      </c>
      <c r="AN70" s="168">
        <v>500</v>
      </c>
      <c r="AP70" s="168">
        <v>500</v>
      </c>
      <c r="AQ70" s="12">
        <f>ROUND((vstupy!P120*POWER($F$5/50,vstupy!P128))*$I$5,0)</f>
        <v>318</v>
      </c>
      <c r="AR70" s="13">
        <f>ROUND((vstupy!Q120*POWER($F$5/50,vstupy!Q128))*$I$5,0)</f>
        <v>413</v>
      </c>
      <c r="AS70" s="13">
        <f>ROUND((vstupy!R120*POWER($F$5/50,vstupy!R128))*$I$5,0)</f>
        <v>567</v>
      </c>
      <c r="AT70" s="13">
        <f>ROUND((vstupy!S120*POWER($F$5/50,vstupy!S128))*$I$5,0)</f>
        <v>703</v>
      </c>
      <c r="AU70" s="208">
        <f>ROUND((vstupy!T120*POWER($F$5/50,vstupy!T128))*$I$5,0)</f>
        <v>859</v>
      </c>
      <c r="AV70" s="169"/>
      <c r="AW70" s="170"/>
      <c r="AX70" s="170"/>
      <c r="AY70" s="170"/>
      <c r="AZ70" s="171"/>
      <c r="BA70" s="168">
        <v>500</v>
      </c>
    </row>
    <row r="71" spans="2:53" ht="13.5" customHeight="1" x14ac:dyDescent="0.25">
      <c r="B71" s="10">
        <v>600</v>
      </c>
      <c r="C71" s="2">
        <f>ROUND((((($C$5-$D$5)/(LN(($C$5-$E$5)/($D$5-$E$5))))/49.8328865456397)^vstupy!C129)*vstupy!C121*$I$5,0)</f>
        <v>329</v>
      </c>
      <c r="D71" s="1">
        <f>ROUND((((($C$5-$D$5)/(LN(($C$5-$E$5)/($D$5-$E$5))))/49.8328865456397)^vstupy!D129)*vstupy!D121*$I$5,0)</f>
        <v>429</v>
      </c>
      <c r="E71" s="1">
        <f>ROUND((((($C$5-$D$5)/(LN(($C$5-$E$5)/($D$5-$E$5))))/49.8328865456397)^vstupy!E129)*vstupy!E121*$I$5,0)</f>
        <v>596</v>
      </c>
      <c r="F71" s="1">
        <f>ROUND((((($C$5-$D$5)/(LN(($C$5-$E$5)/($D$5-$E$5))))/49.8328865456397)^vstupy!F129)*vstupy!F121*$I$5,0)</f>
        <v>750</v>
      </c>
      <c r="G71" s="3">
        <f>ROUND((((($C$5-$D$5)/(LN(($C$5-$E$5)/($D$5-$E$5))))/49.8328865456397)^vstupy!G129)*vstupy!G121*$I$5,0)</f>
        <v>934</v>
      </c>
      <c r="H71" s="2">
        <f>ROUND((((($C$5-$D$5)/(LN(($C$5-$E$5)/($D$5-$E$5))))/49.8328865456397)^vstupy!H129)*vstupy!H121*$I$5,0)</f>
        <v>329</v>
      </c>
      <c r="I71" s="1">
        <f>ROUND((((($C$5-$D$5)/(LN(($C$5-$E$5)/($D$5-$E$5))))/49.8328865456397)^vstupy!I129)*vstupy!I121*$I$5,0)</f>
        <v>429</v>
      </c>
      <c r="J71" s="1">
        <f>ROUND((((($C$5-$D$5)/(LN(($C$5-$E$5)/($D$5-$E$5))))/49.8328865456397)^vstupy!J129)*vstupy!J121*$I$5,0)</f>
        <v>596</v>
      </c>
      <c r="K71" s="1">
        <f>ROUND((((($C$5-$D$5)/(LN(($C$5-$E$5)/($D$5-$E$5))))/49.8328865456397)^vstupy!K129)*vstupy!K121*$I$5,0)</f>
        <v>750</v>
      </c>
      <c r="L71" s="3">
        <f>ROUND((((($C$5-$D$5)/(LN(($C$5-$E$5)/($D$5-$E$5))))/49.8328865456397)^vstupy!L129)*vstupy!L121*$I$5,0)</f>
        <v>934</v>
      </c>
      <c r="M71" s="10">
        <v>600</v>
      </c>
      <c r="O71" s="10">
        <v>600</v>
      </c>
      <c r="P71" s="2">
        <f>ROUND((((($C$5-$D$5)/(LN(($C$5-$E$5)/($D$5-$E$5))))/49.8328865456397)^vstupy!P130)*vstupy!P121*$I$5,0)</f>
        <v>372</v>
      </c>
      <c r="Q71" s="1">
        <f>ROUND((((($C$5-$D$5)/(LN(($C$5-$E$5)/($D$5-$E$5))))/49.8328865456397)^vstupy!Q130)*vstupy!Q121*$I$5,0)</f>
        <v>482</v>
      </c>
      <c r="R71" s="1">
        <f>ROUND((((($C$5-$D$5)/(LN(($C$5-$E$5)/($D$5-$E$5))))/49.8328865456397)^vstupy!R130)*vstupy!R121*$I$5,0)</f>
        <v>662</v>
      </c>
      <c r="S71" s="1">
        <f>ROUND((((($C$5-$D$5)/(LN(($C$5-$E$5)/($D$5-$E$5))))/49.8328865456397)^vstupy!S130)*vstupy!S121*$I$5,0)</f>
        <v>820</v>
      </c>
      <c r="T71" s="3">
        <f>ROUND((((($C$5-$D$5)/(LN(($C$5-$E$5)/($D$5-$E$5))))/49.8328865456397)^vstupy!T130)*vstupy!T121*$I$5,0)</f>
        <v>1003</v>
      </c>
      <c r="U71" s="75"/>
      <c r="V71" s="76"/>
      <c r="W71" s="76"/>
      <c r="X71" s="76"/>
      <c r="Y71" s="77"/>
      <c r="Z71" s="10">
        <v>600</v>
      </c>
      <c r="AC71" s="10">
        <v>600</v>
      </c>
      <c r="AD71" s="2">
        <f>ROUND((vstupy!C121*POWER($F$5/50,vstupy!C129))*$I$5,0)</f>
        <v>329</v>
      </c>
      <c r="AE71" s="1">
        <f>ROUND((vstupy!D121*POWER($F$5/50,vstupy!D129))*$I$5,0)</f>
        <v>429</v>
      </c>
      <c r="AF71" s="1">
        <f>ROUND((vstupy!E121*POWER($F$5/50,vstupy!E129))*$I$5,0)</f>
        <v>596</v>
      </c>
      <c r="AG71" s="1">
        <f>ROUND((vstupy!F121*POWER($F$5/50,vstupy!F129))*$I$5,0)</f>
        <v>750</v>
      </c>
      <c r="AH71" s="3">
        <f>ROUND((vstupy!G121*POWER($F$5/50,vstupy!G129))*$I$5,0)</f>
        <v>934</v>
      </c>
      <c r="AI71" s="2">
        <f>ROUND((vstupy!H121*POWER($F$5/50,vstupy!H129))*$I$5,0)</f>
        <v>329</v>
      </c>
      <c r="AJ71" s="1">
        <f>ROUND((vstupy!I121*POWER($F$5/50,vstupy!I129))*$I$5,0)</f>
        <v>429</v>
      </c>
      <c r="AK71" s="1">
        <f>ROUND((vstupy!J121*POWER($F$5/50,vstupy!J129))*$I$5,0)</f>
        <v>596</v>
      </c>
      <c r="AL71" s="1">
        <f>ROUND((vstupy!K121*POWER($F$5/50,vstupy!K129))*$I$5,0)</f>
        <v>750</v>
      </c>
      <c r="AM71" s="3">
        <f>ROUND((vstupy!L121*POWER($F$5/50,vstupy!L129))*$I$5,0)</f>
        <v>934</v>
      </c>
      <c r="AN71" s="10">
        <v>600</v>
      </c>
      <c r="AP71" s="10">
        <v>600</v>
      </c>
      <c r="AQ71" s="2">
        <f>ROUND((vstupy!P121*POWER($F$5/50,vstupy!P129))*$I$5,0)</f>
        <v>372</v>
      </c>
      <c r="AR71" s="1">
        <f>ROUND((vstupy!Q121*POWER($F$5/50,vstupy!Q129))*$I$5,0)</f>
        <v>482</v>
      </c>
      <c r="AS71" s="1">
        <f>ROUND((vstupy!R121*POWER($F$5/50,vstupy!R129))*$I$5,0)</f>
        <v>662</v>
      </c>
      <c r="AT71" s="1">
        <f>ROUND((vstupy!S121*POWER($F$5/50,vstupy!S129))*$I$5,0)</f>
        <v>820</v>
      </c>
      <c r="AU71" s="3">
        <f>ROUND((vstupy!T121*POWER($F$5/50,vstupy!T129))*$I$5,0)</f>
        <v>1003</v>
      </c>
      <c r="AV71" s="75"/>
      <c r="AW71" s="76"/>
      <c r="AX71" s="76"/>
      <c r="AY71" s="76"/>
      <c r="AZ71" s="77"/>
      <c r="BA71" s="10">
        <v>600</v>
      </c>
    </row>
    <row r="72" spans="2:53" ht="13.5" customHeight="1" thickBot="1" x14ac:dyDescent="0.3">
      <c r="B72" s="11">
        <v>750</v>
      </c>
      <c r="C72" s="4">
        <f>ROUND((((($C$5-$D$5)/(LN(($C$5-$E$5)/($D$5-$E$5))))/49.8328865456397)^vstupy!C130)*vstupy!C122*$I$5,0)</f>
        <v>400</v>
      </c>
      <c r="D72" s="5">
        <f>ROUND((((($C$5-$D$5)/(LN(($C$5-$E$5)/($D$5-$E$5))))/49.8328865456397)^vstupy!D130)*vstupy!D122*$I$5,0)</f>
        <v>522</v>
      </c>
      <c r="E72" s="5">
        <f>ROUND((((($C$5-$D$5)/(LN(($C$5-$E$5)/($D$5-$E$5))))/49.8328865456397)^vstupy!E130)*vstupy!E122*$I$5,0)</f>
        <v>726</v>
      </c>
      <c r="F72" s="5">
        <f>ROUND((((($C$5-$D$5)/(LN(($C$5-$E$5)/($D$5-$E$5))))/49.8328865456397)^vstupy!F130)*vstupy!F122*$I$5,0)</f>
        <v>913</v>
      </c>
      <c r="G72" s="6">
        <f>ROUND((((($C$5-$D$5)/(LN(($C$5-$E$5)/($D$5-$E$5))))/49.8328865456397)^vstupy!G130)*vstupy!G122*$I$5,0)</f>
        <v>1138</v>
      </c>
      <c r="H72" s="4">
        <f>ROUND((((($C$5-$D$5)/(LN(($C$5-$E$5)/($D$5-$E$5))))/49.8328865456397)^vstupy!H130)*vstupy!H122*$I$5,0)</f>
        <v>400</v>
      </c>
      <c r="I72" s="5">
        <f>ROUND((((($C$5-$D$5)/(LN(($C$5-$E$5)/($D$5-$E$5))))/49.8328865456397)^vstupy!I130)*vstupy!I122*$I$5,0)</f>
        <v>522</v>
      </c>
      <c r="J72" s="5">
        <f>ROUND((((($C$5-$D$5)/(LN(($C$5-$E$5)/($D$5-$E$5))))/49.8328865456397)^vstupy!J130)*vstupy!J122*$I$5,0)</f>
        <v>726</v>
      </c>
      <c r="K72" s="5">
        <f>ROUND((((($C$5-$D$5)/(LN(($C$5-$E$5)/($D$5-$E$5))))/49.8328865456397)^vstupy!K130)*vstupy!K122*$I$5,0)</f>
        <v>913</v>
      </c>
      <c r="L72" s="6">
        <f>ROUND((((($C$5-$D$5)/(LN(($C$5-$E$5)/($D$5-$E$5))))/49.8328865456397)^vstupy!L130)*vstupy!L122*$I$5,0)</f>
        <v>1138</v>
      </c>
      <c r="M72" s="11">
        <v>750</v>
      </c>
      <c r="O72" s="11">
        <v>750</v>
      </c>
      <c r="P72" s="4">
        <f>ROUND((((($C$5-$D$5)/(LN(($C$5-$E$5)/($D$5-$E$5))))/49.8328865456397)^vstupy!P130)*vstupy!P122*$I$5,0)</f>
        <v>449</v>
      </c>
      <c r="Q72" s="5">
        <f>ROUND((((($C$5-$D$5)/(LN(($C$5-$E$5)/($D$5-$E$5))))/49.8328865456397)^vstupy!Q130)*vstupy!Q122*$I$5,0)</f>
        <v>583</v>
      </c>
      <c r="R72" s="5">
        <f>ROUND((((($C$5-$D$5)/(LN(($C$5-$E$5)/($D$5-$E$5))))/49.8328865456397)^vstupy!R130)*vstupy!R122*$I$5,0)</f>
        <v>799</v>
      </c>
      <c r="S72" s="5">
        <f>ROUND((((($C$5-$D$5)/(LN(($C$5-$E$5)/($D$5-$E$5))))/49.8328865456397)^vstupy!S130)*vstupy!S122*$I$5,0)</f>
        <v>991</v>
      </c>
      <c r="T72" s="6">
        <f>ROUND((((($C$5-$D$5)/(LN(($C$5-$E$5)/($D$5-$E$5))))/49.8328865456397)^vstupy!T130)*vstupy!T122*$I$5,0)</f>
        <v>1211</v>
      </c>
      <c r="U72" s="78"/>
      <c r="V72" s="79"/>
      <c r="W72" s="79"/>
      <c r="X72" s="79"/>
      <c r="Y72" s="80"/>
      <c r="Z72" s="11">
        <v>750</v>
      </c>
      <c r="AC72" s="11">
        <v>750</v>
      </c>
      <c r="AD72" s="4">
        <f>ROUND((vstupy!C122*POWER($F$5/50,vstupy!C130))*$I$5,0)</f>
        <v>400</v>
      </c>
      <c r="AE72" s="5">
        <f>ROUND((vstupy!D122*POWER($F$5/50,vstupy!D130))*$I$5,0)</f>
        <v>522</v>
      </c>
      <c r="AF72" s="5">
        <f>ROUND((vstupy!E122*POWER($F$5/50,vstupy!E130))*$I$5,0)</f>
        <v>726</v>
      </c>
      <c r="AG72" s="5">
        <f>ROUND((vstupy!F122*POWER($F$5/50,vstupy!F130))*$I$5,0)</f>
        <v>913</v>
      </c>
      <c r="AH72" s="6">
        <f>ROUND((vstupy!G122*POWER($F$5/50,vstupy!G130))*$I$5,0)</f>
        <v>1138</v>
      </c>
      <c r="AI72" s="4">
        <f>ROUND((vstupy!H122*POWER($F$5/50,vstupy!H130))*$I$5,0)</f>
        <v>400</v>
      </c>
      <c r="AJ72" s="5">
        <f>ROUND((vstupy!I122*POWER($F$5/50,vstupy!I130))*$I$5,0)</f>
        <v>522</v>
      </c>
      <c r="AK72" s="5">
        <f>ROUND((vstupy!J122*POWER($F$5/50,vstupy!J130))*$I$5,0)</f>
        <v>726</v>
      </c>
      <c r="AL72" s="5">
        <f>ROUND((vstupy!K122*POWER($F$5/50,vstupy!K130))*$I$5,0)</f>
        <v>913</v>
      </c>
      <c r="AM72" s="6">
        <f>ROUND((vstupy!L122*POWER($F$5/50,vstupy!L130))*$I$5,0)</f>
        <v>1138</v>
      </c>
      <c r="AN72" s="11">
        <v>750</v>
      </c>
      <c r="AP72" s="11">
        <v>750</v>
      </c>
      <c r="AQ72" s="4">
        <f>ROUND((vstupy!P122*POWER($F$5/50,vstupy!P130))*$I$5,0)</f>
        <v>449</v>
      </c>
      <c r="AR72" s="5">
        <f>ROUND((vstupy!Q122*POWER($F$5/50,vstupy!Q130))*$I$5,0)</f>
        <v>583</v>
      </c>
      <c r="AS72" s="5">
        <f>ROUND((vstupy!R122*POWER($F$5/50,vstupy!R130))*$I$5,0)</f>
        <v>799</v>
      </c>
      <c r="AT72" s="5">
        <f>ROUND((vstupy!S122*POWER($F$5/50,vstupy!S130))*$I$5,0)</f>
        <v>991</v>
      </c>
      <c r="AU72" s="6">
        <f>ROUND((vstupy!T122*POWER($F$5/50,vstupy!T130))*$I$5,0)</f>
        <v>1211</v>
      </c>
      <c r="AV72" s="78"/>
      <c r="AW72" s="79"/>
      <c r="AX72" s="79"/>
      <c r="AY72" s="79"/>
      <c r="AZ72" s="80"/>
      <c r="BA72" s="11">
        <v>750</v>
      </c>
    </row>
    <row r="73" spans="2:53" ht="15.75" thickBot="1" x14ac:dyDescent="0.3"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</row>
    <row r="74" spans="2:53" ht="15" customHeight="1" thickBot="1" x14ac:dyDescent="0.3">
      <c r="B74" s="34"/>
      <c r="C74" s="41" t="s">
        <v>271</v>
      </c>
      <c r="D74" s="42"/>
      <c r="E74" s="42"/>
      <c r="F74" s="43"/>
      <c r="N74" s="34"/>
      <c r="O74" s="34"/>
      <c r="P74" s="41" t="s">
        <v>271</v>
      </c>
      <c r="Q74" s="42"/>
      <c r="R74" s="42"/>
      <c r="S74" s="43"/>
      <c r="AC74" s="34"/>
      <c r="AD74" s="41" t="s">
        <v>271</v>
      </c>
      <c r="AE74" s="42"/>
      <c r="AF74" s="42"/>
      <c r="AG74" s="43"/>
      <c r="AO74" s="34"/>
      <c r="AP74" s="34"/>
      <c r="AQ74" s="41" t="s">
        <v>271</v>
      </c>
      <c r="AR74" s="42"/>
      <c r="AS74" s="42"/>
      <c r="AT74" s="43"/>
    </row>
    <row r="75" spans="2:53" ht="15" customHeight="1" x14ac:dyDescent="0.25">
      <c r="B75" s="7" t="s">
        <v>9</v>
      </c>
      <c r="C75" s="44" t="s">
        <v>10</v>
      </c>
      <c r="D75" s="45"/>
      <c r="E75" s="45"/>
      <c r="F75" s="46"/>
      <c r="O75" s="7" t="s">
        <v>9</v>
      </c>
      <c r="P75" s="44" t="s">
        <v>10</v>
      </c>
      <c r="Q75" s="45"/>
      <c r="R75" s="45"/>
      <c r="S75" s="46"/>
      <c r="AC75" s="7" t="s">
        <v>9</v>
      </c>
      <c r="AD75" s="44" t="s">
        <v>10</v>
      </c>
      <c r="AE75" s="45"/>
      <c r="AF75" s="45"/>
      <c r="AG75" s="46"/>
      <c r="AP75" s="7" t="s">
        <v>9</v>
      </c>
      <c r="AQ75" s="44" t="s">
        <v>10</v>
      </c>
      <c r="AR75" s="45"/>
      <c r="AS75" s="45"/>
      <c r="AT75" s="46"/>
    </row>
    <row r="76" spans="2:53" ht="15" customHeight="1" thickBot="1" x14ac:dyDescent="0.3">
      <c r="B76" s="8" t="s">
        <v>11</v>
      </c>
      <c r="C76" s="15">
        <v>900</v>
      </c>
      <c r="D76" s="16">
        <v>1220</v>
      </c>
      <c r="E76" s="16">
        <v>1500</v>
      </c>
      <c r="F76" s="17">
        <v>1820</v>
      </c>
      <c r="O76" s="8" t="s">
        <v>11</v>
      </c>
      <c r="P76" s="15">
        <v>900</v>
      </c>
      <c r="Q76" s="16">
        <v>1220</v>
      </c>
      <c r="R76" s="16">
        <v>1500</v>
      </c>
      <c r="S76" s="17">
        <v>1820</v>
      </c>
      <c r="AC76" s="8" t="s">
        <v>11</v>
      </c>
      <c r="AD76" s="15">
        <v>900</v>
      </c>
      <c r="AE76" s="16">
        <v>1220</v>
      </c>
      <c r="AF76" s="16">
        <v>1500</v>
      </c>
      <c r="AG76" s="17">
        <v>1820</v>
      </c>
      <c r="AP76" s="8" t="s">
        <v>11</v>
      </c>
      <c r="AQ76" s="15">
        <v>900</v>
      </c>
      <c r="AR76" s="16">
        <v>1220</v>
      </c>
      <c r="AS76" s="16">
        <v>1500</v>
      </c>
      <c r="AT76" s="17">
        <v>1820</v>
      </c>
    </row>
    <row r="77" spans="2:53" ht="13.5" customHeight="1" x14ac:dyDescent="0.25">
      <c r="B77" s="9">
        <v>450</v>
      </c>
      <c r="C77" s="12">
        <f>ROUND((((($C$5-$D$5)/(LN(($C$5-$E$5)/($D$5-$E$5))))/49.8328865456397)^vstupy!C142)*vstupy!C135*$I$5,0)</f>
        <v>249</v>
      </c>
      <c r="D77" s="13">
        <f>ROUND((((($C$5-$D$5)/(LN(($C$5-$E$5)/($D$5-$E$5))))/49.8328865456397)^vstupy!D142)*vstupy!D135*$I$5,0)</f>
        <v>338</v>
      </c>
      <c r="E77" s="13">
        <f>ROUND((((($C$5-$D$5)/(LN(($C$5-$E$5)/($D$5-$E$5))))/49.8328865456397)^vstupy!E142)*vstupy!E135*$I$5,0)</f>
        <v>419</v>
      </c>
      <c r="F77" s="14">
        <f>ROUND((((($C$5-$D$5)/(LN(($C$5-$E$5)/($D$5-$E$5))))/49.8328865456397)^vstupy!F142)*vstupy!F135*$I$5,0)</f>
        <v>516</v>
      </c>
      <c r="O77" s="9">
        <v>450</v>
      </c>
      <c r="P77" s="72"/>
      <c r="Q77" s="73"/>
      <c r="R77" s="73"/>
      <c r="S77" s="74"/>
      <c r="AC77" s="9">
        <v>450</v>
      </c>
      <c r="AD77" s="12">
        <f>ROUND((vstupy!C135*POWER($F$5/50,vstupy!C142))*$I$5,0)</f>
        <v>249</v>
      </c>
      <c r="AE77" s="13">
        <f>ROUND((vstupy!D135*POWER($F$5/50,vstupy!D142))*$I$5,0)</f>
        <v>338</v>
      </c>
      <c r="AF77" s="13">
        <f>ROUND((vstupy!E135*POWER($F$5/50,vstupy!E142))*$I$5,0)</f>
        <v>419</v>
      </c>
      <c r="AG77" s="14">
        <f>ROUND((vstupy!F135*POWER($F$5/50,vstupy!F142))*$I$5,0)</f>
        <v>516</v>
      </c>
      <c r="AP77" s="9">
        <v>450</v>
      </c>
      <c r="AQ77" s="72"/>
      <c r="AR77" s="73"/>
      <c r="AS77" s="73"/>
      <c r="AT77" s="74"/>
    </row>
    <row r="78" spans="2:53" ht="13.5" customHeight="1" x14ac:dyDescent="0.25">
      <c r="B78" s="10">
        <v>600</v>
      </c>
      <c r="C78" s="2">
        <f>ROUND((((($C$5-$D$5)/(LN(($C$5-$E$5)/($D$5-$E$5))))/49.8328865456397)^vstupy!C143)*vstupy!C136*$I$5,0)</f>
        <v>319</v>
      </c>
      <c r="D78" s="1">
        <f>ROUND((((($C$5-$D$5)/(LN(($C$5-$E$5)/($D$5-$E$5))))/49.8328865456397)^vstupy!D143)*vstupy!D136*$I$5,0)</f>
        <v>433</v>
      </c>
      <c r="E78" s="1">
        <f>ROUND((((($C$5-$D$5)/(LN(($C$5-$E$5)/($D$5-$E$5))))/49.8328865456397)^vstupy!E143)*vstupy!E136*$I$5,0)</f>
        <v>537</v>
      </c>
      <c r="F78" s="3">
        <f>ROUND((((($C$5-$D$5)/(LN(($C$5-$E$5)/($D$5-$E$5))))/49.8328865456397)^vstupy!F143)*vstupy!F136*$I$5,0)</f>
        <v>662</v>
      </c>
      <c r="O78" s="10">
        <v>600</v>
      </c>
      <c r="P78" s="75"/>
      <c r="Q78" s="76"/>
      <c r="R78" s="76"/>
      <c r="S78" s="77"/>
      <c r="AC78" s="10">
        <v>600</v>
      </c>
      <c r="AD78" s="2">
        <f>ROUND((vstupy!C136*POWER($F$5/50,vstupy!C143))*$I$5,0)</f>
        <v>319</v>
      </c>
      <c r="AE78" s="1">
        <f>ROUND((vstupy!D136*POWER($F$5/50,vstupy!D143))*$I$5,0)</f>
        <v>433</v>
      </c>
      <c r="AF78" s="1">
        <f>ROUND((vstupy!E136*POWER($F$5/50,vstupy!E143))*$I$5,0)</f>
        <v>537</v>
      </c>
      <c r="AG78" s="3">
        <f>ROUND((vstupy!F136*POWER($F$5/50,vstupy!F143))*$I$5,0)</f>
        <v>662</v>
      </c>
      <c r="AP78" s="10">
        <v>600</v>
      </c>
      <c r="AQ78" s="75"/>
      <c r="AR78" s="76"/>
      <c r="AS78" s="76"/>
      <c r="AT78" s="77"/>
    </row>
    <row r="79" spans="2:53" ht="13.5" customHeight="1" thickBot="1" x14ac:dyDescent="0.3">
      <c r="B79" s="11">
        <v>750</v>
      </c>
      <c r="C79" s="4">
        <f>ROUND((((($C$5-$D$5)/(LN(($C$5-$E$5)/($D$5-$E$5))))/49.8328865456397)^vstupy!C144)*vstupy!C137*$I$5,0)</f>
        <v>387</v>
      </c>
      <c r="D79" s="5">
        <f>ROUND((((($C$5-$D$5)/(LN(($C$5-$E$5)/($D$5-$E$5))))/49.8328865456397)^vstupy!D144)*vstupy!D137*$I$5,0)</f>
        <v>526</v>
      </c>
      <c r="E79" s="5">
        <f>ROUND((((($C$5-$D$5)/(LN(($C$5-$E$5)/($D$5-$E$5))))/49.8328865456397)^vstupy!E144)*vstupy!E137*$I$5,0)</f>
        <v>652</v>
      </c>
      <c r="F79" s="6">
        <f>ROUND((((($C$5-$D$5)/(LN(($C$5-$E$5)/($D$5-$E$5))))/49.8328865456397)^vstupy!F144)*vstupy!F137*$I$5,0)</f>
        <v>802</v>
      </c>
      <c r="O79" s="11">
        <v>750</v>
      </c>
      <c r="P79" s="78"/>
      <c r="Q79" s="79"/>
      <c r="R79" s="79"/>
      <c r="S79" s="80"/>
      <c r="AC79" s="11">
        <v>750</v>
      </c>
      <c r="AD79" s="4">
        <f>ROUND((vstupy!C137*POWER($F$5/50,vstupy!C144))*$I$5,0)</f>
        <v>387</v>
      </c>
      <c r="AE79" s="5">
        <f>ROUND((vstupy!D137*POWER($F$5/50,vstupy!D144))*$I$5,0)</f>
        <v>526</v>
      </c>
      <c r="AF79" s="5">
        <f>ROUND((vstupy!E137*POWER($F$5/50,vstupy!E144))*$I$5,0)</f>
        <v>652</v>
      </c>
      <c r="AG79" s="6">
        <f>ROUND((vstupy!F137*POWER($F$5/50,vstupy!F144))*$I$5,0)</f>
        <v>802</v>
      </c>
      <c r="AP79" s="11">
        <v>750</v>
      </c>
      <c r="AQ79" s="78"/>
      <c r="AR79" s="79"/>
      <c r="AS79" s="79"/>
      <c r="AT79" s="80"/>
    </row>
  </sheetData>
  <mergeCells count="52">
    <mergeCell ref="BR25:BR26"/>
    <mergeCell ref="S3:S5"/>
    <mergeCell ref="T3:T5"/>
    <mergeCell ref="U3:U5"/>
    <mergeCell ref="BG4:BG6"/>
    <mergeCell ref="BA5:BA6"/>
    <mergeCell ref="BB5:BB6"/>
    <mergeCell ref="BC5:BC6"/>
    <mergeCell ref="BD5:BD6"/>
    <mergeCell ref="BE5:BE6"/>
    <mergeCell ref="AQ7:AR8"/>
    <mergeCell ref="AS7:AS8"/>
    <mergeCell ref="BF4:BF6"/>
    <mergeCell ref="AP5:AP6"/>
    <mergeCell ref="AD5:AD7"/>
    <mergeCell ref="AE5:AE7"/>
    <mergeCell ref="O4:O5"/>
    <mergeCell ref="M7:M8"/>
    <mergeCell ref="N7:N8"/>
    <mergeCell ref="O7:O8"/>
    <mergeCell ref="Q7:Q8"/>
    <mergeCell ref="R7:R8"/>
    <mergeCell ref="BQ23:BQ24"/>
    <mergeCell ref="BJ24:BL24"/>
    <mergeCell ref="BI25:BI26"/>
    <mergeCell ref="BJ25:BJ26"/>
    <mergeCell ref="BK25:BK26"/>
    <mergeCell ref="BM25:BM26"/>
    <mergeCell ref="BN25:BN26"/>
    <mergeCell ref="BO25:BO26"/>
    <mergeCell ref="BP25:BQ26"/>
    <mergeCell ref="BM23:BM24"/>
    <mergeCell ref="BN23:BN24"/>
    <mergeCell ref="BO23:BO24"/>
    <mergeCell ref="BP23:BP24"/>
    <mergeCell ref="AO7:AO8"/>
    <mergeCell ref="AP7:AP8"/>
    <mergeCell ref="AX6:AZ6"/>
    <mergeCell ref="AJ7:AJ8"/>
    <mergeCell ref="AK7:AK8"/>
    <mergeCell ref="AL7:AL8"/>
    <mergeCell ref="AN7:AN8"/>
    <mergeCell ref="AO5:AO6"/>
    <mergeCell ref="AK6:AM6"/>
    <mergeCell ref="AN5:AN6"/>
    <mergeCell ref="S7:S8"/>
    <mergeCell ref="T7:U8"/>
    <mergeCell ref="V7:V8"/>
    <mergeCell ref="AQ5:AQ6"/>
    <mergeCell ref="AR5:AR6"/>
    <mergeCell ref="AF5:AF7"/>
    <mergeCell ref="Z6:Z7"/>
  </mergeCells>
  <printOptions horizontalCentered="1"/>
  <pageMargins left="0.39370078740157483" right="0.39370078740157483" top="0.39370078740157483" bottom="0.39370078740157483" header="0.31496062992125984" footer="0.19685039370078741"/>
  <pageSetup paperSize="9" scale="86" fitToWidth="2" orientation="portrait" r:id="rId1"/>
  <headerFooter>
    <oddFooter>&amp;L&amp;"-,Kurzíva"&amp;8Vypracoval: Marketing VN, &amp;D, &amp;T&amp;R&amp;"-,Kurzíva"&amp;8&amp;F, &amp;A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8200" r:id="rId4">
          <objectPr defaultSize="0" autoPict="0" r:id="rId5">
            <anchor moveWithCells="1" sizeWithCells="1">
              <from>
                <xdr:col>11</xdr:col>
                <xdr:colOff>342900</xdr:colOff>
                <xdr:row>2</xdr:row>
                <xdr:rowOff>0</xdr:rowOff>
              </from>
              <to>
                <xdr:col>14</xdr:col>
                <xdr:colOff>0</xdr:colOff>
                <xdr:row>5</xdr:row>
                <xdr:rowOff>57150</xdr:rowOff>
              </to>
            </anchor>
          </objectPr>
        </oleObject>
      </mc:Choice>
      <mc:Fallback>
        <oleObject progId="Equation.3" shapeId="8200" r:id="rId4"/>
      </mc:Fallback>
    </mc:AlternateContent>
    <mc:AlternateContent xmlns:mc="http://schemas.openxmlformats.org/markup-compatibility/2006">
      <mc:Choice Requires="x14">
        <oleObject progId="Equation.3" shapeId="8201" r:id="rId6">
          <objectPr defaultSize="0" autoPict="0" r:id="rId7">
            <anchor moveWithCells="1" sizeWithCells="1">
              <from>
                <xdr:col>9</xdr:col>
                <xdr:colOff>123825</xdr:colOff>
                <xdr:row>5</xdr:row>
                <xdr:rowOff>19050</xdr:rowOff>
              </from>
              <to>
                <xdr:col>10</xdr:col>
                <xdr:colOff>590550</xdr:colOff>
                <xdr:row>7</xdr:row>
                <xdr:rowOff>152400</xdr:rowOff>
              </to>
            </anchor>
          </objectPr>
        </oleObject>
      </mc:Choice>
      <mc:Fallback>
        <oleObject progId="Equation.3" shapeId="8201" r:id="rId6"/>
      </mc:Fallback>
    </mc:AlternateContent>
    <mc:AlternateContent xmlns:mc="http://schemas.openxmlformats.org/markup-compatibility/2006">
      <mc:Choice Requires="x14">
        <oleObject progId="Equation.3" shapeId="8202" r:id="rId8">
          <objectPr defaultSize="0" autoPict="0" r:id="rId5">
            <anchor moveWithCells="1" sizeWithCells="1">
              <from>
                <xdr:col>22</xdr:col>
                <xdr:colOff>0</xdr:colOff>
                <xdr:row>3</xdr:row>
                <xdr:rowOff>219075</xdr:rowOff>
              </from>
              <to>
                <xdr:col>23</xdr:col>
                <xdr:colOff>285750</xdr:colOff>
                <xdr:row>7</xdr:row>
                <xdr:rowOff>104775</xdr:rowOff>
              </to>
            </anchor>
          </objectPr>
        </oleObject>
      </mc:Choice>
      <mc:Fallback>
        <oleObject progId="Equation.3" shapeId="8202" r:id="rId8"/>
      </mc:Fallback>
    </mc:AlternateContent>
    <mc:AlternateContent xmlns:mc="http://schemas.openxmlformats.org/markup-compatibility/2006">
      <mc:Choice Requires="x14">
        <oleObject progId="Equation.3" shapeId="8203" r:id="rId9">
          <objectPr defaultSize="0" r:id="rId10">
            <anchor moveWithCells="1" sizeWithCells="1">
              <from>
                <xdr:col>32</xdr:col>
                <xdr:colOff>209550</xdr:colOff>
                <xdr:row>5</xdr:row>
                <xdr:rowOff>9525</xdr:rowOff>
              </from>
              <to>
                <xdr:col>33</xdr:col>
                <xdr:colOff>600075</xdr:colOff>
                <xdr:row>7</xdr:row>
                <xdr:rowOff>133350</xdr:rowOff>
              </to>
            </anchor>
          </objectPr>
        </oleObject>
      </mc:Choice>
      <mc:Fallback>
        <oleObject progId="Equation.3" shapeId="8203" r:id="rId9"/>
      </mc:Fallback>
    </mc:AlternateContent>
    <mc:AlternateContent xmlns:mc="http://schemas.openxmlformats.org/markup-compatibility/2006">
      <mc:Choice Requires="x14">
        <oleObject progId="Equation.3" shapeId="8204" r:id="rId11">
          <objectPr defaultSize="0" autoPict="0" r:id="rId12">
            <anchor moveWithCells="1" sizeWithCells="1">
              <from>
                <xdr:col>33</xdr:col>
                <xdr:colOff>600075</xdr:colOff>
                <xdr:row>3</xdr:row>
                <xdr:rowOff>180975</xdr:rowOff>
              </from>
              <to>
                <xdr:col>35</xdr:col>
                <xdr:colOff>285750</xdr:colOff>
                <xdr:row>5</xdr:row>
                <xdr:rowOff>180975</xdr:rowOff>
              </to>
            </anchor>
          </objectPr>
        </oleObject>
      </mc:Choice>
      <mc:Fallback>
        <oleObject progId="Equation.3" shapeId="8204" r:id="rId11"/>
      </mc:Fallback>
    </mc:AlternateContent>
    <mc:AlternateContent xmlns:mc="http://schemas.openxmlformats.org/markup-compatibility/2006">
      <mc:Choice Requires="x14">
        <oleObject progId="Equation.3" shapeId="8205" r:id="rId13">
          <objectPr defaultSize="0" autoPict="0" r:id="rId12">
            <anchor moveWithCells="1" sizeWithCells="1">
              <from>
                <xdr:col>47</xdr:col>
                <xdr:colOff>0</xdr:colOff>
                <xdr:row>3</xdr:row>
                <xdr:rowOff>209550</xdr:rowOff>
              </from>
              <to>
                <xdr:col>48</xdr:col>
                <xdr:colOff>314325</xdr:colOff>
                <xdr:row>6</xdr:row>
                <xdr:rowOff>9525</xdr:rowOff>
              </to>
            </anchor>
          </objectPr>
        </oleObject>
      </mc:Choice>
      <mc:Fallback>
        <oleObject progId="Equation.3" shapeId="8205" r:id="rId13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6">
    <tabColor rgb="FFFFC000"/>
  </sheetPr>
  <dimension ref="A1:Z227"/>
  <sheetViews>
    <sheetView showGridLines="0" zoomScale="85" zoomScaleNormal="85" zoomScaleSheetLayoutView="100" workbookViewId="0"/>
  </sheetViews>
  <sheetFormatPr defaultRowHeight="15" x14ac:dyDescent="0.25"/>
  <cols>
    <col min="2" max="12" width="8.28515625" customWidth="1"/>
    <col min="13" max="13" width="8.7109375" customWidth="1"/>
    <col min="21" max="25" width="8.28515625" customWidth="1"/>
    <col min="26" max="26" width="8.7109375" customWidth="1"/>
  </cols>
  <sheetData>
    <row r="1" spans="2:26" x14ac:dyDescent="0.25">
      <c r="N1" s="18"/>
    </row>
    <row r="2" spans="2:26" x14ac:dyDescent="0.25">
      <c r="K2" s="197"/>
      <c r="L2" s="197"/>
      <c r="M2" s="197"/>
      <c r="N2" s="197"/>
      <c r="O2" s="197"/>
      <c r="P2" s="197"/>
      <c r="Q2" s="197"/>
      <c r="R2" s="197"/>
      <c r="S2" s="197"/>
      <c r="T2" s="197"/>
      <c r="U2" s="197"/>
      <c r="V2" s="197"/>
      <c r="W2" s="197"/>
      <c r="X2" s="197"/>
      <c r="Y2" s="197"/>
    </row>
    <row r="3" spans="2:26" x14ac:dyDescent="0.25">
      <c r="K3" s="198"/>
      <c r="L3" s="198"/>
      <c r="M3" s="198"/>
      <c r="N3" s="198"/>
      <c r="O3" s="198"/>
      <c r="P3" s="198"/>
      <c r="Q3" s="198"/>
      <c r="R3" s="198"/>
      <c r="S3" s="198"/>
      <c r="T3" s="198"/>
      <c r="U3" s="198"/>
      <c r="V3" s="198"/>
      <c r="W3" s="198"/>
      <c r="X3" s="198"/>
      <c r="Y3" s="198"/>
    </row>
    <row r="4" spans="2:26" x14ac:dyDescent="0.25">
      <c r="K4" s="199"/>
      <c r="L4" s="200"/>
      <c r="M4" s="199"/>
      <c r="N4" s="200"/>
      <c r="O4" s="200"/>
      <c r="P4" s="200"/>
      <c r="Q4" s="199"/>
      <c r="R4" s="200"/>
      <c r="S4" s="199"/>
      <c r="T4" s="200"/>
      <c r="V4" s="200"/>
      <c r="W4" s="199"/>
      <c r="X4" s="200"/>
      <c r="Y4" s="199"/>
    </row>
    <row r="5" spans="2:26" x14ac:dyDescent="0.25">
      <c r="H5" s="49"/>
      <c r="I5" s="49"/>
      <c r="K5" s="201"/>
      <c r="M5" s="201"/>
      <c r="Q5" s="201"/>
      <c r="S5" s="201"/>
      <c r="U5" s="202"/>
      <c r="W5" s="201"/>
      <c r="Y5" s="201"/>
    </row>
    <row r="7" spans="2:26" x14ac:dyDescent="0.25">
      <c r="N7" s="18"/>
    </row>
    <row r="9" spans="2:26" ht="15" customHeight="1" x14ac:dyDescent="0.25"/>
    <row r="11" spans="2:26" ht="15.75" thickBot="1" x14ac:dyDescent="0.3">
      <c r="C11" s="55" t="s">
        <v>203</v>
      </c>
      <c r="O11" s="55" t="s">
        <v>204</v>
      </c>
    </row>
    <row r="12" spans="2:26" ht="15" customHeight="1" thickBot="1" x14ac:dyDescent="0.3">
      <c r="B12" s="34"/>
      <c r="C12" s="35" t="s">
        <v>266</v>
      </c>
      <c r="D12" s="36"/>
      <c r="E12" s="36"/>
      <c r="F12" s="36"/>
      <c r="G12" s="36"/>
      <c r="H12" s="35" t="s">
        <v>268</v>
      </c>
      <c r="I12" s="36"/>
      <c r="J12" s="36"/>
      <c r="K12" s="36"/>
      <c r="L12" s="37"/>
      <c r="M12" s="34"/>
      <c r="O12" s="34"/>
      <c r="P12" s="35" t="s">
        <v>266</v>
      </c>
      <c r="Q12" s="36"/>
      <c r="R12" s="36"/>
      <c r="S12" s="36"/>
      <c r="T12" s="36"/>
      <c r="U12" s="35" t="s">
        <v>268</v>
      </c>
      <c r="V12" s="36"/>
      <c r="W12" s="36"/>
      <c r="X12" s="36"/>
      <c r="Y12" s="37"/>
      <c r="Z12" s="34"/>
    </row>
    <row r="13" spans="2:26" ht="15" customHeight="1" x14ac:dyDescent="0.25">
      <c r="B13" s="7" t="s">
        <v>9</v>
      </c>
      <c r="C13" s="38" t="s">
        <v>10</v>
      </c>
      <c r="D13" s="39"/>
      <c r="E13" s="39"/>
      <c r="F13" s="39"/>
      <c r="G13" s="40"/>
      <c r="H13" s="38" t="s">
        <v>10</v>
      </c>
      <c r="I13" s="39"/>
      <c r="J13" s="39"/>
      <c r="K13" s="39"/>
      <c r="L13" s="40"/>
      <c r="M13" s="7" t="s">
        <v>9</v>
      </c>
      <c r="O13" s="7" t="s">
        <v>9</v>
      </c>
      <c r="P13" s="38" t="s">
        <v>10</v>
      </c>
      <c r="Q13" s="39"/>
      <c r="R13" s="39"/>
      <c r="S13" s="39"/>
      <c r="T13" s="40"/>
      <c r="U13" s="38" t="s">
        <v>10</v>
      </c>
      <c r="V13" s="39"/>
      <c r="W13" s="39"/>
      <c r="X13" s="39"/>
      <c r="Y13" s="40"/>
      <c r="Z13" s="7" t="s">
        <v>9</v>
      </c>
    </row>
    <row r="14" spans="2:26" ht="15" customHeight="1" thickBot="1" x14ac:dyDescent="0.3">
      <c r="B14" s="8" t="s">
        <v>11</v>
      </c>
      <c r="C14" s="15">
        <v>700</v>
      </c>
      <c r="D14" s="16">
        <v>900</v>
      </c>
      <c r="E14" s="16">
        <v>1220</v>
      </c>
      <c r="F14" s="16">
        <v>1500</v>
      </c>
      <c r="G14" s="17">
        <v>1820</v>
      </c>
      <c r="H14" s="15">
        <v>700</v>
      </c>
      <c r="I14" s="16">
        <v>900</v>
      </c>
      <c r="J14" s="16">
        <v>1220</v>
      </c>
      <c r="K14" s="16">
        <v>1500</v>
      </c>
      <c r="L14" s="17">
        <v>1820</v>
      </c>
      <c r="M14" s="8" t="s">
        <v>11</v>
      </c>
      <c r="O14" s="8" t="s">
        <v>11</v>
      </c>
      <c r="P14" s="203">
        <v>700</v>
      </c>
      <c r="Q14" s="204">
        <v>900</v>
      </c>
      <c r="R14" s="204">
        <v>1220</v>
      </c>
      <c r="S14" s="204">
        <v>1500</v>
      </c>
      <c r="T14" s="205">
        <v>1820</v>
      </c>
      <c r="U14" s="203">
        <v>700</v>
      </c>
      <c r="V14" s="204">
        <v>900</v>
      </c>
      <c r="W14" s="204">
        <v>1220</v>
      </c>
      <c r="X14" s="204">
        <v>1500</v>
      </c>
      <c r="Y14" s="205">
        <v>1820</v>
      </c>
      <c r="Z14" s="8" t="s">
        <v>11</v>
      </c>
    </row>
    <row r="15" spans="2:26" ht="13.5" customHeight="1" x14ac:dyDescent="0.25">
      <c r="B15" s="9">
        <v>450</v>
      </c>
      <c r="C15" s="185">
        <v>320</v>
      </c>
      <c r="D15" s="186">
        <v>411</v>
      </c>
      <c r="E15" s="186">
        <v>557</v>
      </c>
      <c r="F15" s="186">
        <v>686</v>
      </c>
      <c r="G15" s="187">
        <v>833</v>
      </c>
      <c r="H15" s="185">
        <v>320</v>
      </c>
      <c r="I15" s="186">
        <v>411</v>
      </c>
      <c r="J15" s="186">
        <v>557</v>
      </c>
      <c r="K15" s="186">
        <v>686</v>
      </c>
      <c r="L15" s="187">
        <v>833</v>
      </c>
      <c r="M15" s="9">
        <v>450</v>
      </c>
      <c r="O15" s="9">
        <v>450</v>
      </c>
      <c r="P15" s="185">
        <v>341</v>
      </c>
      <c r="Q15" s="186">
        <v>436</v>
      </c>
      <c r="R15" s="186">
        <v>592</v>
      </c>
      <c r="S15" s="186">
        <v>735</v>
      </c>
      <c r="T15" s="187">
        <v>906</v>
      </c>
      <c r="U15" s="72"/>
      <c r="V15" s="73"/>
      <c r="W15" s="73"/>
      <c r="X15" s="73"/>
      <c r="Y15" s="74"/>
      <c r="Z15" s="206">
        <v>450</v>
      </c>
    </row>
    <row r="16" spans="2:26" ht="13.5" customHeight="1" x14ac:dyDescent="0.25">
      <c r="B16" s="172">
        <v>600</v>
      </c>
      <c r="C16" s="179">
        <v>422</v>
      </c>
      <c r="D16" s="180">
        <v>543</v>
      </c>
      <c r="E16" s="180">
        <v>736</v>
      </c>
      <c r="F16" s="180">
        <v>906</v>
      </c>
      <c r="G16" s="181">
        <v>1101</v>
      </c>
      <c r="H16" s="179">
        <v>422</v>
      </c>
      <c r="I16" s="180">
        <v>543</v>
      </c>
      <c r="J16" s="180">
        <v>736</v>
      </c>
      <c r="K16" s="180">
        <v>906</v>
      </c>
      <c r="L16" s="181">
        <v>1101</v>
      </c>
      <c r="M16" s="172">
        <v>600</v>
      </c>
      <c r="O16" s="172">
        <v>600</v>
      </c>
      <c r="P16" s="179">
        <v>454</v>
      </c>
      <c r="Q16" s="180">
        <v>580</v>
      </c>
      <c r="R16" s="180">
        <v>789</v>
      </c>
      <c r="S16" s="180">
        <v>979</v>
      </c>
      <c r="T16" s="181">
        <v>1206</v>
      </c>
      <c r="U16" s="75"/>
      <c r="V16" s="76"/>
      <c r="W16" s="76"/>
      <c r="X16" s="76"/>
      <c r="Y16" s="77"/>
      <c r="Z16" s="10">
        <v>600</v>
      </c>
    </row>
    <row r="17" spans="2:26" ht="13.5" customHeight="1" thickBot="1" x14ac:dyDescent="0.3">
      <c r="B17" s="11">
        <v>750</v>
      </c>
      <c r="C17" s="191">
        <v>524</v>
      </c>
      <c r="D17" s="192">
        <v>673</v>
      </c>
      <c r="E17" s="192">
        <v>913</v>
      </c>
      <c r="F17" s="192">
        <v>1124</v>
      </c>
      <c r="G17" s="193">
        <v>1367</v>
      </c>
      <c r="H17" s="191">
        <v>524</v>
      </c>
      <c r="I17" s="192">
        <v>673</v>
      </c>
      <c r="J17" s="192">
        <v>913</v>
      </c>
      <c r="K17" s="192">
        <v>1124</v>
      </c>
      <c r="L17" s="193">
        <v>1367</v>
      </c>
      <c r="M17" s="11">
        <v>750</v>
      </c>
      <c r="O17" s="11">
        <v>750</v>
      </c>
      <c r="P17" s="191">
        <v>567</v>
      </c>
      <c r="Q17" s="192">
        <v>725</v>
      </c>
      <c r="R17" s="192">
        <v>985</v>
      </c>
      <c r="S17" s="192">
        <v>1222</v>
      </c>
      <c r="T17" s="193">
        <v>1507</v>
      </c>
      <c r="U17" s="78"/>
      <c r="V17" s="79"/>
      <c r="W17" s="79"/>
      <c r="X17" s="79"/>
      <c r="Y17" s="80"/>
      <c r="Z17" s="11">
        <v>750</v>
      </c>
    </row>
    <row r="18" spans="2:26" ht="15.75" thickBot="1" x14ac:dyDescent="0.3"/>
    <row r="19" spans="2:26" ht="13.5" customHeight="1" thickBot="1" x14ac:dyDescent="0.3">
      <c r="B19" s="34"/>
      <c r="C19" s="35" t="s">
        <v>266</v>
      </c>
      <c r="D19" s="36"/>
      <c r="E19" s="36"/>
      <c r="F19" s="36"/>
      <c r="G19" s="36"/>
      <c r="H19" s="35" t="s">
        <v>268</v>
      </c>
      <c r="I19" s="36"/>
      <c r="J19" s="36"/>
      <c r="K19" s="36"/>
      <c r="L19" s="37"/>
      <c r="M19" s="34"/>
      <c r="O19" s="34"/>
      <c r="P19" s="35" t="s">
        <v>266</v>
      </c>
      <c r="Q19" s="36"/>
      <c r="R19" s="36"/>
      <c r="S19" s="36"/>
      <c r="T19" s="36"/>
      <c r="U19" s="35" t="s">
        <v>268</v>
      </c>
      <c r="V19" s="36"/>
      <c r="W19" s="36"/>
      <c r="X19" s="36"/>
      <c r="Y19" s="37"/>
      <c r="Z19" s="34"/>
    </row>
    <row r="20" spans="2:26" ht="13.5" customHeight="1" x14ac:dyDescent="0.25">
      <c r="B20" s="7" t="s">
        <v>9</v>
      </c>
      <c r="C20" s="38" t="s">
        <v>10</v>
      </c>
      <c r="D20" s="39"/>
      <c r="E20" s="39"/>
      <c r="F20" s="39"/>
      <c r="G20" s="40"/>
      <c r="H20" s="38" t="s">
        <v>10</v>
      </c>
      <c r="I20" s="39"/>
      <c r="J20" s="39"/>
      <c r="K20" s="39"/>
      <c r="L20" s="40"/>
      <c r="M20" s="7" t="s">
        <v>9</v>
      </c>
      <c r="O20" s="7" t="s">
        <v>9</v>
      </c>
      <c r="P20" s="38" t="s">
        <v>10</v>
      </c>
      <c r="Q20" s="39"/>
      <c r="R20" s="39"/>
      <c r="S20" s="39"/>
      <c r="T20" s="40"/>
      <c r="U20" s="38" t="s">
        <v>10</v>
      </c>
      <c r="V20" s="39"/>
      <c r="W20" s="39"/>
      <c r="X20" s="39"/>
      <c r="Y20" s="40"/>
      <c r="Z20" s="7" t="s">
        <v>9</v>
      </c>
    </row>
    <row r="21" spans="2:26" ht="13.5" customHeight="1" thickBot="1" x14ac:dyDescent="0.3">
      <c r="B21" s="8" t="s">
        <v>11</v>
      </c>
      <c r="C21" s="15">
        <v>700</v>
      </c>
      <c r="D21" s="16">
        <v>900</v>
      </c>
      <c r="E21" s="16">
        <v>1220</v>
      </c>
      <c r="F21" s="16">
        <v>1500</v>
      </c>
      <c r="G21" s="17">
        <v>1820</v>
      </c>
      <c r="H21" s="15">
        <v>700</v>
      </c>
      <c r="I21" s="16">
        <v>900</v>
      </c>
      <c r="J21" s="16">
        <v>1220</v>
      </c>
      <c r="K21" s="16">
        <v>1500</v>
      </c>
      <c r="L21" s="17">
        <v>1820</v>
      </c>
      <c r="M21" s="8" t="s">
        <v>11</v>
      </c>
      <c r="O21" s="8" t="s">
        <v>11</v>
      </c>
      <c r="P21" s="15">
        <v>700</v>
      </c>
      <c r="Q21" s="16">
        <v>900</v>
      </c>
      <c r="R21" s="16">
        <v>1220</v>
      </c>
      <c r="S21" s="16">
        <v>1500</v>
      </c>
      <c r="T21" s="17">
        <v>1820</v>
      </c>
      <c r="U21" s="15">
        <v>700</v>
      </c>
      <c r="V21" s="16">
        <v>900</v>
      </c>
      <c r="W21" s="16">
        <v>1220</v>
      </c>
      <c r="X21" s="16">
        <v>1500</v>
      </c>
      <c r="Y21" s="17">
        <v>1820</v>
      </c>
      <c r="Z21" s="8" t="s">
        <v>11</v>
      </c>
    </row>
    <row r="22" spans="2:26" ht="13.5" customHeight="1" x14ac:dyDescent="0.25">
      <c r="B22" s="9">
        <v>450</v>
      </c>
      <c r="C22" s="182">
        <v>1.2363</v>
      </c>
      <c r="D22" s="183">
        <v>1.2464999999999999</v>
      </c>
      <c r="E22" s="183">
        <v>1.2626999999999999</v>
      </c>
      <c r="F22" s="183">
        <v>1.2688999999999999</v>
      </c>
      <c r="G22" s="184">
        <v>1.276</v>
      </c>
      <c r="H22" s="182">
        <v>1.2363</v>
      </c>
      <c r="I22" s="183">
        <v>1.2464999999999999</v>
      </c>
      <c r="J22" s="183">
        <v>1.2626999999999999</v>
      </c>
      <c r="K22" s="183">
        <v>1.2688999999999999</v>
      </c>
      <c r="L22" s="184">
        <v>1.276</v>
      </c>
      <c r="M22" s="9">
        <v>450</v>
      </c>
      <c r="O22" s="9">
        <v>450</v>
      </c>
      <c r="P22" s="182">
        <v>1.2765</v>
      </c>
      <c r="Q22" s="183">
        <v>1.2816000000000001</v>
      </c>
      <c r="R22" s="183">
        <v>1.2896000000000001</v>
      </c>
      <c r="S22" s="183">
        <v>1.2967</v>
      </c>
      <c r="T22" s="184">
        <v>1.3048</v>
      </c>
      <c r="U22" s="169"/>
      <c r="V22" s="170"/>
      <c r="W22" s="170"/>
      <c r="X22" s="170"/>
      <c r="Y22" s="171"/>
      <c r="Z22" s="168"/>
    </row>
    <row r="23" spans="2:26" ht="13.5" customHeight="1" x14ac:dyDescent="0.25">
      <c r="B23" s="172">
        <v>600</v>
      </c>
      <c r="C23" s="182">
        <v>1.2476</v>
      </c>
      <c r="D23" s="183">
        <v>1.256</v>
      </c>
      <c r="E23" s="183">
        <v>1.2695000000000001</v>
      </c>
      <c r="F23" s="183">
        <v>1.2646999999999999</v>
      </c>
      <c r="G23" s="184">
        <v>1.2592000000000001</v>
      </c>
      <c r="H23" s="182">
        <v>1.2476</v>
      </c>
      <c r="I23" s="183">
        <v>1.256</v>
      </c>
      <c r="J23" s="183">
        <v>1.2695000000000001</v>
      </c>
      <c r="K23" s="183">
        <v>1.2646999999999999</v>
      </c>
      <c r="L23" s="184">
        <v>1.2592000000000001</v>
      </c>
      <c r="M23" s="172">
        <v>600</v>
      </c>
      <c r="O23" s="172">
        <v>600</v>
      </c>
      <c r="P23" s="182">
        <v>1.2650999999999999</v>
      </c>
      <c r="Q23" s="183">
        <v>1.2694000000000001</v>
      </c>
      <c r="R23" s="183">
        <v>1.2762</v>
      </c>
      <c r="S23" s="183">
        <v>1.2821</v>
      </c>
      <c r="T23" s="184">
        <v>1.2889999999999999</v>
      </c>
      <c r="U23" s="173"/>
      <c r="V23" s="174"/>
      <c r="W23" s="174"/>
      <c r="X23" s="174"/>
      <c r="Y23" s="175"/>
      <c r="Z23" s="172"/>
    </row>
    <row r="24" spans="2:26" ht="15.75" thickBot="1" x14ac:dyDescent="0.3">
      <c r="B24" s="11">
        <v>750</v>
      </c>
      <c r="C24" s="188">
        <v>1.2587999999999999</v>
      </c>
      <c r="D24" s="189">
        <v>1.2655000000000001</v>
      </c>
      <c r="E24" s="189">
        <v>1.2762</v>
      </c>
      <c r="F24" s="189">
        <v>1.2604</v>
      </c>
      <c r="G24" s="190">
        <v>1.2423999999999999</v>
      </c>
      <c r="H24" s="188">
        <v>1.2587999999999999</v>
      </c>
      <c r="I24" s="189">
        <v>1.2655000000000001</v>
      </c>
      <c r="J24" s="189">
        <v>1.2762</v>
      </c>
      <c r="K24" s="189">
        <v>1.2604</v>
      </c>
      <c r="L24" s="190">
        <v>1.2423999999999999</v>
      </c>
      <c r="M24" s="11">
        <v>750</v>
      </c>
      <c r="O24" s="11">
        <v>750</v>
      </c>
      <c r="P24" s="188">
        <v>1.2537</v>
      </c>
      <c r="Q24" s="189">
        <v>1.2572000000000001</v>
      </c>
      <c r="R24" s="189">
        <v>1.2626999999999999</v>
      </c>
      <c r="S24" s="189">
        <v>1.2676000000000001</v>
      </c>
      <c r="T24" s="190">
        <v>1.2730999999999999</v>
      </c>
      <c r="U24" s="78"/>
      <c r="V24" s="79"/>
      <c r="W24" s="79"/>
      <c r="X24" s="79"/>
      <c r="Y24" s="80"/>
      <c r="Z24" s="11">
        <v>750</v>
      </c>
    </row>
    <row r="25" spans="2:26" ht="15.75" thickBot="1" x14ac:dyDescent="0.3"/>
    <row r="26" spans="2:26" ht="15" customHeight="1" thickBot="1" x14ac:dyDescent="0.3">
      <c r="B26" s="34"/>
      <c r="C26" s="35" t="s">
        <v>16</v>
      </c>
      <c r="D26" s="36"/>
      <c r="E26" s="36"/>
      <c r="F26" s="36"/>
      <c r="G26" s="36"/>
      <c r="H26" s="35" t="s">
        <v>17</v>
      </c>
      <c r="I26" s="36"/>
      <c r="J26" s="36"/>
      <c r="K26" s="36"/>
      <c r="L26" s="37"/>
      <c r="M26" s="34"/>
      <c r="O26" s="34"/>
      <c r="P26" s="35" t="s">
        <v>16</v>
      </c>
      <c r="Q26" s="36"/>
      <c r="R26" s="36"/>
      <c r="S26" s="36"/>
      <c r="T26" s="36"/>
      <c r="U26" s="35" t="s">
        <v>17</v>
      </c>
      <c r="V26" s="36"/>
      <c r="W26" s="36"/>
      <c r="X26" s="36"/>
      <c r="Y26" s="37"/>
      <c r="Z26" s="34"/>
    </row>
    <row r="27" spans="2:26" ht="15" customHeight="1" x14ac:dyDescent="0.25">
      <c r="B27" s="7" t="s">
        <v>9</v>
      </c>
      <c r="C27" s="38" t="s">
        <v>10</v>
      </c>
      <c r="D27" s="39"/>
      <c r="E27" s="39"/>
      <c r="F27" s="39"/>
      <c r="G27" s="40"/>
      <c r="H27" s="38" t="s">
        <v>10</v>
      </c>
      <c r="I27" s="39"/>
      <c r="J27" s="39"/>
      <c r="K27" s="39"/>
      <c r="L27" s="40"/>
      <c r="M27" s="7" t="s">
        <v>9</v>
      </c>
      <c r="O27" s="7" t="s">
        <v>9</v>
      </c>
      <c r="P27" s="38" t="s">
        <v>10</v>
      </c>
      <c r="Q27" s="39"/>
      <c r="R27" s="39"/>
      <c r="S27" s="39"/>
      <c r="T27" s="40"/>
      <c r="U27" s="38" t="s">
        <v>10</v>
      </c>
      <c r="V27" s="39"/>
      <c r="W27" s="39"/>
      <c r="X27" s="39"/>
      <c r="Y27" s="40"/>
      <c r="Z27" s="7" t="s">
        <v>9</v>
      </c>
    </row>
    <row r="28" spans="2:26" ht="15" customHeight="1" thickBot="1" x14ac:dyDescent="0.3">
      <c r="B28" s="8" t="s">
        <v>11</v>
      </c>
      <c r="C28" s="15">
        <v>700</v>
      </c>
      <c r="D28" s="16">
        <v>900</v>
      </c>
      <c r="E28" s="16">
        <v>1220</v>
      </c>
      <c r="F28" s="16">
        <v>1500</v>
      </c>
      <c r="G28" s="17">
        <v>1820</v>
      </c>
      <c r="H28" s="15">
        <v>700</v>
      </c>
      <c r="I28" s="16">
        <v>900</v>
      </c>
      <c r="J28" s="16">
        <v>1220</v>
      </c>
      <c r="K28" s="16">
        <v>1500</v>
      </c>
      <c r="L28" s="17">
        <v>1820</v>
      </c>
      <c r="M28" s="8" t="s">
        <v>11</v>
      </c>
      <c r="O28" s="8" t="s">
        <v>11</v>
      </c>
      <c r="P28" s="15">
        <v>700</v>
      </c>
      <c r="Q28" s="16">
        <v>900</v>
      </c>
      <c r="R28" s="16">
        <v>1220</v>
      </c>
      <c r="S28" s="16">
        <v>1500</v>
      </c>
      <c r="T28" s="17">
        <v>1820</v>
      </c>
      <c r="U28" s="15">
        <v>700</v>
      </c>
      <c r="V28" s="16">
        <v>900</v>
      </c>
      <c r="W28" s="16">
        <v>1220</v>
      </c>
      <c r="X28" s="16">
        <v>1500</v>
      </c>
      <c r="Y28" s="17">
        <v>1820</v>
      </c>
      <c r="Z28" s="8" t="s">
        <v>11</v>
      </c>
    </row>
    <row r="29" spans="2:26" ht="13.5" customHeight="1" x14ac:dyDescent="0.25">
      <c r="B29" s="9">
        <v>450</v>
      </c>
      <c r="C29" s="185">
        <v>287</v>
      </c>
      <c r="D29" s="186">
        <v>369</v>
      </c>
      <c r="E29" s="186">
        <v>504</v>
      </c>
      <c r="F29" s="186">
        <v>626</v>
      </c>
      <c r="G29" s="187">
        <v>772</v>
      </c>
      <c r="H29" s="185">
        <v>287</v>
      </c>
      <c r="I29" s="186">
        <v>369</v>
      </c>
      <c r="J29" s="186">
        <v>504</v>
      </c>
      <c r="K29" s="186">
        <v>626</v>
      </c>
      <c r="L29" s="187">
        <v>772</v>
      </c>
      <c r="M29" s="9">
        <v>450</v>
      </c>
      <c r="O29" s="9">
        <v>450</v>
      </c>
      <c r="P29" s="185">
        <v>312</v>
      </c>
      <c r="Q29" s="186">
        <v>402</v>
      </c>
      <c r="R29" s="186">
        <v>549</v>
      </c>
      <c r="S29" s="186">
        <v>682</v>
      </c>
      <c r="T29" s="187">
        <v>841</v>
      </c>
      <c r="U29" s="72"/>
      <c r="V29" s="73"/>
      <c r="W29" s="73"/>
      <c r="X29" s="73"/>
      <c r="Y29" s="74"/>
      <c r="Z29" s="9">
        <v>450</v>
      </c>
    </row>
    <row r="30" spans="2:26" ht="13.5" customHeight="1" x14ac:dyDescent="0.25">
      <c r="B30" s="207">
        <v>500</v>
      </c>
      <c r="C30" s="179">
        <v>315</v>
      </c>
      <c r="D30" s="180">
        <v>405</v>
      </c>
      <c r="E30" s="180">
        <v>553</v>
      </c>
      <c r="F30" s="180">
        <v>687</v>
      </c>
      <c r="G30" s="181">
        <v>848</v>
      </c>
      <c r="H30" s="179">
        <v>315</v>
      </c>
      <c r="I30" s="180">
        <v>405</v>
      </c>
      <c r="J30" s="180">
        <v>553</v>
      </c>
      <c r="K30" s="180">
        <v>687</v>
      </c>
      <c r="L30" s="181">
        <v>848</v>
      </c>
      <c r="M30" s="207">
        <v>500</v>
      </c>
      <c r="O30" s="207">
        <v>500</v>
      </c>
      <c r="P30" s="179">
        <v>342</v>
      </c>
      <c r="Q30" s="180">
        <v>440</v>
      </c>
      <c r="R30" s="180">
        <v>601</v>
      </c>
      <c r="S30" s="180">
        <v>747</v>
      </c>
      <c r="T30" s="181">
        <v>921</v>
      </c>
      <c r="U30" s="169"/>
      <c r="V30" s="170"/>
      <c r="W30" s="170"/>
      <c r="X30" s="170"/>
      <c r="Y30" s="171"/>
      <c r="Z30" s="168">
        <v>500</v>
      </c>
    </row>
    <row r="31" spans="2:26" ht="13.5" customHeight="1" x14ac:dyDescent="0.25">
      <c r="B31" s="172">
        <v>600</v>
      </c>
      <c r="C31" s="179">
        <v>370</v>
      </c>
      <c r="D31" s="180">
        <v>475</v>
      </c>
      <c r="E31" s="180">
        <v>650</v>
      </c>
      <c r="F31" s="180">
        <v>808</v>
      </c>
      <c r="G31" s="181">
        <v>996</v>
      </c>
      <c r="H31" s="179">
        <v>370</v>
      </c>
      <c r="I31" s="180">
        <v>475</v>
      </c>
      <c r="J31" s="180">
        <v>650</v>
      </c>
      <c r="K31" s="180">
        <v>808</v>
      </c>
      <c r="L31" s="181">
        <v>996</v>
      </c>
      <c r="M31" s="172">
        <v>600</v>
      </c>
      <c r="O31" s="172">
        <v>600</v>
      </c>
      <c r="P31" s="179">
        <v>400</v>
      </c>
      <c r="Q31" s="180">
        <v>515</v>
      </c>
      <c r="R31" s="180">
        <v>703</v>
      </c>
      <c r="S31" s="180">
        <v>874</v>
      </c>
      <c r="T31" s="181">
        <v>1078</v>
      </c>
      <c r="U31" s="75"/>
      <c r="V31" s="76"/>
      <c r="W31" s="76"/>
      <c r="X31" s="76"/>
      <c r="Y31" s="77"/>
      <c r="Z31" s="10">
        <v>600</v>
      </c>
    </row>
    <row r="32" spans="2:26" ht="13.5" customHeight="1" thickBot="1" x14ac:dyDescent="0.3">
      <c r="B32" s="11">
        <v>750</v>
      </c>
      <c r="C32" s="191">
        <v>450</v>
      </c>
      <c r="D32" s="192">
        <v>579</v>
      </c>
      <c r="E32" s="192">
        <v>791</v>
      </c>
      <c r="F32" s="192">
        <v>984</v>
      </c>
      <c r="G32" s="193">
        <v>1213</v>
      </c>
      <c r="H32" s="191">
        <v>450</v>
      </c>
      <c r="I32" s="192">
        <v>579</v>
      </c>
      <c r="J32" s="192">
        <v>791</v>
      </c>
      <c r="K32" s="192">
        <v>984</v>
      </c>
      <c r="L32" s="193">
        <v>1213</v>
      </c>
      <c r="M32" s="11">
        <v>750</v>
      </c>
      <c r="O32" s="11">
        <v>750</v>
      </c>
      <c r="P32" s="191">
        <v>485</v>
      </c>
      <c r="Q32" s="192">
        <v>624</v>
      </c>
      <c r="R32" s="192">
        <v>852</v>
      </c>
      <c r="S32" s="192">
        <v>1060</v>
      </c>
      <c r="T32" s="193">
        <v>1307</v>
      </c>
      <c r="U32" s="78"/>
      <c r="V32" s="79"/>
      <c r="W32" s="79"/>
      <c r="X32" s="79"/>
      <c r="Y32" s="80"/>
      <c r="Z32" s="11">
        <v>750</v>
      </c>
    </row>
    <row r="33" spans="2:26" ht="13.5" customHeight="1" thickBot="1" x14ac:dyDescent="0.3">
      <c r="B33" s="177"/>
      <c r="C33" s="177"/>
      <c r="D33" s="177"/>
      <c r="E33" s="177"/>
      <c r="F33" s="177"/>
      <c r="G33" s="177"/>
      <c r="H33" s="177"/>
      <c r="I33" s="177"/>
      <c r="J33" s="177"/>
      <c r="K33" s="177"/>
      <c r="L33" s="177"/>
      <c r="M33" s="177"/>
      <c r="O33" s="177"/>
      <c r="P33" s="177"/>
      <c r="Q33" s="177"/>
      <c r="R33" s="177"/>
      <c r="S33" s="177"/>
      <c r="T33" s="177"/>
      <c r="U33" s="177"/>
      <c r="V33" s="177"/>
      <c r="W33" s="177"/>
      <c r="X33" s="177"/>
      <c r="Y33" s="177"/>
      <c r="Z33" s="177"/>
    </row>
    <row r="34" spans="2:26" ht="13.5" customHeight="1" thickBot="1" x14ac:dyDescent="0.3">
      <c r="B34" s="34"/>
      <c r="C34" s="35" t="s">
        <v>16</v>
      </c>
      <c r="D34" s="36"/>
      <c r="E34" s="36"/>
      <c r="F34" s="36"/>
      <c r="G34" s="36"/>
      <c r="H34" s="35" t="s">
        <v>17</v>
      </c>
      <c r="I34" s="36"/>
      <c r="J34" s="36"/>
      <c r="K34" s="36"/>
      <c r="L34" s="37"/>
      <c r="M34" s="34"/>
      <c r="O34" s="34"/>
      <c r="P34" s="35" t="s">
        <v>16</v>
      </c>
      <c r="Q34" s="36"/>
      <c r="R34" s="36"/>
      <c r="S34" s="36"/>
      <c r="T34" s="36"/>
      <c r="U34" s="35" t="s">
        <v>17</v>
      </c>
      <c r="V34" s="36"/>
      <c r="W34" s="36"/>
      <c r="X34" s="36"/>
      <c r="Y34" s="37"/>
      <c r="Z34" s="34"/>
    </row>
    <row r="35" spans="2:26" ht="13.5" customHeight="1" x14ac:dyDescent="0.25">
      <c r="B35" s="7" t="s">
        <v>9</v>
      </c>
      <c r="C35" s="38" t="s">
        <v>10</v>
      </c>
      <c r="D35" s="39"/>
      <c r="E35" s="39"/>
      <c r="F35" s="39"/>
      <c r="G35" s="40"/>
      <c r="H35" s="38" t="s">
        <v>10</v>
      </c>
      <c r="I35" s="39"/>
      <c r="J35" s="39"/>
      <c r="K35" s="39"/>
      <c r="L35" s="40"/>
      <c r="M35" s="7" t="s">
        <v>9</v>
      </c>
      <c r="O35" s="7" t="s">
        <v>9</v>
      </c>
      <c r="P35" s="38" t="s">
        <v>10</v>
      </c>
      <c r="Q35" s="39"/>
      <c r="R35" s="39"/>
      <c r="S35" s="39"/>
      <c r="T35" s="40"/>
      <c r="U35" s="38" t="s">
        <v>10</v>
      </c>
      <c r="V35" s="39"/>
      <c r="W35" s="39"/>
      <c r="X35" s="39"/>
      <c r="Y35" s="40"/>
      <c r="Z35" s="7" t="s">
        <v>9</v>
      </c>
    </row>
    <row r="36" spans="2:26" ht="13.5" customHeight="1" thickBot="1" x14ac:dyDescent="0.3">
      <c r="B36" s="8" t="s">
        <v>11</v>
      </c>
      <c r="C36" s="15">
        <v>700</v>
      </c>
      <c r="D36" s="16">
        <v>900</v>
      </c>
      <c r="E36" s="16">
        <v>1220</v>
      </c>
      <c r="F36" s="16">
        <v>1500</v>
      </c>
      <c r="G36" s="17">
        <v>1820</v>
      </c>
      <c r="H36" s="15">
        <v>700</v>
      </c>
      <c r="I36" s="16">
        <v>900</v>
      </c>
      <c r="J36" s="16">
        <v>1220</v>
      </c>
      <c r="K36" s="16">
        <v>1500</v>
      </c>
      <c r="L36" s="17">
        <v>1820</v>
      </c>
      <c r="M36" s="8" t="s">
        <v>11</v>
      </c>
      <c r="O36" s="8" t="s">
        <v>11</v>
      </c>
      <c r="P36" s="15">
        <v>700</v>
      </c>
      <c r="Q36" s="16">
        <v>900</v>
      </c>
      <c r="R36" s="16">
        <v>1220</v>
      </c>
      <c r="S36" s="16">
        <v>1500</v>
      </c>
      <c r="T36" s="17">
        <v>1820</v>
      </c>
      <c r="U36" s="15">
        <v>700</v>
      </c>
      <c r="V36" s="16">
        <v>900</v>
      </c>
      <c r="W36" s="16">
        <v>1220</v>
      </c>
      <c r="X36" s="16">
        <v>1500</v>
      </c>
      <c r="Y36" s="17">
        <v>1820</v>
      </c>
      <c r="Z36" s="8" t="s">
        <v>11</v>
      </c>
    </row>
    <row r="37" spans="2:26" ht="13.5" customHeight="1" x14ac:dyDescent="0.25">
      <c r="B37" s="9">
        <v>450</v>
      </c>
      <c r="C37" s="182">
        <v>1.2452000000000001</v>
      </c>
      <c r="D37" s="183">
        <v>1.2488999999999999</v>
      </c>
      <c r="E37" s="183">
        <v>1.2548999999999999</v>
      </c>
      <c r="F37" s="183">
        <v>1.2588999999999999</v>
      </c>
      <c r="G37" s="184">
        <v>1.2634000000000001</v>
      </c>
      <c r="H37" s="182">
        <v>1.2452000000000001</v>
      </c>
      <c r="I37" s="183">
        <v>1.2488999999999999</v>
      </c>
      <c r="J37" s="183">
        <v>1.2548999999999999</v>
      </c>
      <c r="K37" s="183">
        <v>1.2588999999999999</v>
      </c>
      <c r="L37" s="184">
        <v>1.2634000000000001</v>
      </c>
      <c r="M37" s="9">
        <v>450</v>
      </c>
      <c r="O37" s="9">
        <v>450</v>
      </c>
      <c r="P37" s="182">
        <v>1.2638</v>
      </c>
      <c r="Q37" s="183">
        <v>1.2699</v>
      </c>
      <c r="R37" s="183">
        <v>1.2797000000000001</v>
      </c>
      <c r="S37" s="183">
        <v>1.2883</v>
      </c>
      <c r="T37" s="184">
        <v>1.2981</v>
      </c>
      <c r="U37" s="72"/>
      <c r="V37" s="73"/>
      <c r="W37" s="73"/>
      <c r="X37" s="73"/>
      <c r="Y37" s="74"/>
      <c r="Z37" s="9">
        <v>450</v>
      </c>
    </row>
    <row r="38" spans="2:26" ht="13.5" customHeight="1" x14ac:dyDescent="0.25">
      <c r="B38" s="207">
        <v>500</v>
      </c>
      <c r="C38" s="182">
        <v>1.2421</v>
      </c>
      <c r="D38" s="183">
        <v>1.2463</v>
      </c>
      <c r="E38" s="183">
        <v>1.2532000000000001</v>
      </c>
      <c r="F38" s="183">
        <v>1.2573000000000001</v>
      </c>
      <c r="G38" s="184">
        <v>1.2621</v>
      </c>
      <c r="H38" s="182">
        <v>1.2421</v>
      </c>
      <c r="I38" s="183">
        <v>1.2463</v>
      </c>
      <c r="J38" s="183">
        <v>1.2532000000000001</v>
      </c>
      <c r="K38" s="183">
        <v>1.2573000000000001</v>
      </c>
      <c r="L38" s="184">
        <v>1.2621</v>
      </c>
      <c r="M38" s="207">
        <v>500</v>
      </c>
      <c r="O38" s="207">
        <v>500</v>
      </c>
      <c r="P38" s="182">
        <v>1.2543</v>
      </c>
      <c r="Q38" s="183">
        <v>1.2621</v>
      </c>
      <c r="R38" s="183">
        <v>1.2744</v>
      </c>
      <c r="S38" s="183">
        <v>1.2853000000000001</v>
      </c>
      <c r="T38" s="184">
        <v>1.2976000000000001</v>
      </c>
      <c r="U38" s="169"/>
      <c r="V38" s="170"/>
      <c r="W38" s="170"/>
      <c r="X38" s="170"/>
      <c r="Y38" s="171"/>
      <c r="Z38" s="168">
        <v>500</v>
      </c>
    </row>
    <row r="39" spans="2:26" ht="13.5" customHeight="1" x14ac:dyDescent="0.25">
      <c r="B39" s="172">
        <v>600</v>
      </c>
      <c r="C39" s="182">
        <v>1.2358</v>
      </c>
      <c r="D39" s="183">
        <v>1.2412000000000001</v>
      </c>
      <c r="E39" s="183">
        <v>1.2499</v>
      </c>
      <c r="F39" s="183">
        <v>1.2543</v>
      </c>
      <c r="G39" s="184">
        <v>1.2594000000000001</v>
      </c>
      <c r="H39" s="182">
        <v>1.2358</v>
      </c>
      <c r="I39" s="183">
        <v>1.2412000000000001</v>
      </c>
      <c r="J39" s="183">
        <v>1.2499</v>
      </c>
      <c r="K39" s="183">
        <v>1.2543</v>
      </c>
      <c r="L39" s="184">
        <v>1.2594000000000001</v>
      </c>
      <c r="M39" s="172">
        <v>600</v>
      </c>
      <c r="O39" s="172">
        <v>600</v>
      </c>
      <c r="P39" s="182">
        <v>1.2354000000000001</v>
      </c>
      <c r="Q39" s="183">
        <v>1.2463</v>
      </c>
      <c r="R39" s="183">
        <v>1.2638</v>
      </c>
      <c r="S39" s="183">
        <v>1.2791999999999999</v>
      </c>
      <c r="T39" s="184">
        <v>1.2967</v>
      </c>
      <c r="U39" s="75"/>
      <c r="V39" s="76"/>
      <c r="W39" s="76"/>
      <c r="X39" s="76"/>
      <c r="Y39" s="77"/>
      <c r="Z39" s="10">
        <v>600</v>
      </c>
    </row>
    <row r="40" spans="2:26" ht="13.5" customHeight="1" thickBot="1" x14ac:dyDescent="0.3">
      <c r="B40" s="11">
        <v>750</v>
      </c>
      <c r="C40" s="188">
        <v>1.2262999999999999</v>
      </c>
      <c r="D40" s="189">
        <v>1.2334000000000001</v>
      </c>
      <c r="E40" s="189">
        <v>1.2447999999999999</v>
      </c>
      <c r="F40" s="189">
        <v>1.2497</v>
      </c>
      <c r="G40" s="190">
        <v>1.2553000000000001</v>
      </c>
      <c r="H40" s="188">
        <v>1.2262999999999999</v>
      </c>
      <c r="I40" s="189">
        <v>1.2334000000000001</v>
      </c>
      <c r="J40" s="189">
        <v>1.2447999999999999</v>
      </c>
      <c r="K40" s="189">
        <v>1.2497</v>
      </c>
      <c r="L40" s="190">
        <v>1.2553000000000001</v>
      </c>
      <c r="M40" s="11">
        <v>750</v>
      </c>
      <c r="O40" s="11">
        <v>750</v>
      </c>
      <c r="P40" s="188">
        <v>1.2069000000000001</v>
      </c>
      <c r="Q40" s="189">
        <v>1.2226999999999999</v>
      </c>
      <c r="R40" s="189">
        <v>1.2479</v>
      </c>
      <c r="S40" s="189">
        <v>1.27</v>
      </c>
      <c r="T40" s="190">
        <v>1.2952999999999999</v>
      </c>
      <c r="U40" s="78"/>
      <c r="V40" s="79"/>
      <c r="W40" s="79"/>
      <c r="X40" s="79"/>
      <c r="Y40" s="80"/>
      <c r="Z40" s="11">
        <v>750</v>
      </c>
    </row>
    <row r="41" spans="2:26" ht="15.75" thickBot="1" x14ac:dyDescent="0.3"/>
    <row r="42" spans="2:26" ht="15" customHeight="1" thickBot="1" x14ac:dyDescent="0.3">
      <c r="B42" s="34"/>
      <c r="C42" s="35" t="s">
        <v>12</v>
      </c>
      <c r="D42" s="36"/>
      <c r="E42" s="36"/>
      <c r="F42" s="36"/>
      <c r="G42" s="36"/>
      <c r="H42" s="35" t="s">
        <v>13</v>
      </c>
      <c r="I42" s="36"/>
      <c r="J42" s="36"/>
      <c r="K42" s="36"/>
      <c r="L42" s="37"/>
      <c r="M42" s="34"/>
      <c r="O42" s="34"/>
      <c r="P42" s="35" t="s">
        <v>12</v>
      </c>
      <c r="Q42" s="36"/>
      <c r="R42" s="36"/>
      <c r="S42" s="36"/>
      <c r="T42" s="36"/>
      <c r="U42" s="35" t="s">
        <v>13</v>
      </c>
      <c r="V42" s="36"/>
      <c r="W42" s="36"/>
      <c r="X42" s="36"/>
      <c r="Y42" s="37"/>
      <c r="Z42" s="34"/>
    </row>
    <row r="43" spans="2:26" ht="15" customHeight="1" x14ac:dyDescent="0.25">
      <c r="B43" s="7" t="s">
        <v>9</v>
      </c>
      <c r="C43" s="38" t="s">
        <v>10</v>
      </c>
      <c r="D43" s="39"/>
      <c r="E43" s="39"/>
      <c r="F43" s="39"/>
      <c r="G43" s="40"/>
      <c r="H43" s="38" t="s">
        <v>10</v>
      </c>
      <c r="I43" s="39"/>
      <c r="J43" s="39"/>
      <c r="K43" s="39"/>
      <c r="L43" s="40"/>
      <c r="M43" s="7" t="s">
        <v>9</v>
      </c>
      <c r="O43" s="7" t="s">
        <v>9</v>
      </c>
      <c r="P43" s="38" t="s">
        <v>10</v>
      </c>
      <c r="Q43" s="39"/>
      <c r="R43" s="39"/>
      <c r="S43" s="39"/>
      <c r="T43" s="40"/>
      <c r="U43" s="38" t="s">
        <v>10</v>
      </c>
      <c r="V43" s="39"/>
      <c r="W43" s="39"/>
      <c r="X43" s="39"/>
      <c r="Y43" s="40"/>
      <c r="Z43" s="7" t="s">
        <v>9</v>
      </c>
    </row>
    <row r="44" spans="2:26" ht="15" customHeight="1" thickBot="1" x14ac:dyDescent="0.3">
      <c r="B44" s="8" t="s">
        <v>11</v>
      </c>
      <c r="C44" s="15" t="str">
        <f>logic!$L$4</f>
        <v>Длина</v>
      </c>
      <c r="D44" s="16">
        <v>900</v>
      </c>
      <c r="E44" s="16">
        <v>1220</v>
      </c>
      <c r="F44" s="16">
        <v>1500</v>
      </c>
      <c r="G44" s="17">
        <v>1820</v>
      </c>
      <c r="H44" s="15">
        <v>700</v>
      </c>
      <c r="I44" s="16">
        <v>900</v>
      </c>
      <c r="J44" s="16">
        <v>1220</v>
      </c>
      <c r="K44" s="16">
        <v>1500</v>
      </c>
      <c r="L44" s="17">
        <v>1820</v>
      </c>
      <c r="M44" s="8" t="s">
        <v>11</v>
      </c>
      <c r="O44" s="8" t="s">
        <v>11</v>
      </c>
      <c r="P44" s="15">
        <v>700</v>
      </c>
      <c r="Q44" s="16">
        <v>900</v>
      </c>
      <c r="R44" s="16">
        <v>1220</v>
      </c>
      <c r="S44" s="16">
        <v>1500</v>
      </c>
      <c r="T44" s="17">
        <v>1820</v>
      </c>
      <c r="U44" s="15">
        <v>700</v>
      </c>
      <c r="V44" s="16">
        <v>900</v>
      </c>
      <c r="W44" s="16">
        <v>1220</v>
      </c>
      <c r="X44" s="16">
        <v>1500</v>
      </c>
      <c r="Y44" s="17">
        <v>1820</v>
      </c>
      <c r="Z44" s="8" t="s">
        <v>11</v>
      </c>
    </row>
    <row r="45" spans="2:26" ht="13.5" customHeight="1" x14ac:dyDescent="0.25">
      <c r="B45" s="9">
        <v>450</v>
      </c>
      <c r="C45" s="185">
        <f>IF(logic!$D$98=1,C164,C200)</f>
        <v>255</v>
      </c>
      <c r="D45" s="186">
        <f>IF(logic!$D$98=1,D164,D200)</f>
        <v>333</v>
      </c>
      <c r="E45" s="186">
        <f>IF(logic!$D$98=1,E164,E200)</f>
        <v>462</v>
      </c>
      <c r="F45" s="186">
        <f>IF(logic!$D$98=1,F164,F200)</f>
        <v>581</v>
      </c>
      <c r="G45" s="187">
        <f>IF(logic!$D$98=1,G164,G200)</f>
        <v>725</v>
      </c>
      <c r="H45" s="185">
        <f>IF(logic!$D$98=1,H164,H200)</f>
        <v>255</v>
      </c>
      <c r="I45" s="186">
        <f>IF(logic!$D$98=1,I164,I200)</f>
        <v>333</v>
      </c>
      <c r="J45" s="186">
        <f>IF(logic!$D$98=1,J164,J200)</f>
        <v>462</v>
      </c>
      <c r="K45" s="186">
        <f>IF(logic!$D$98=1,K164,K200)</f>
        <v>581</v>
      </c>
      <c r="L45" s="187">
        <f>IF(logic!$D$98=1,L164,L200)</f>
        <v>725</v>
      </c>
      <c r="M45" s="9">
        <v>450</v>
      </c>
      <c r="O45" s="9">
        <v>450</v>
      </c>
      <c r="P45" s="185">
        <v>291</v>
      </c>
      <c r="Q45" s="186">
        <v>378</v>
      </c>
      <c r="R45" s="186">
        <v>519</v>
      </c>
      <c r="S45" s="186">
        <v>643</v>
      </c>
      <c r="T45" s="187">
        <v>786</v>
      </c>
      <c r="U45" s="72"/>
      <c r="V45" s="73"/>
      <c r="W45" s="73"/>
      <c r="X45" s="73"/>
      <c r="Y45" s="74"/>
      <c r="Z45" s="9">
        <v>450</v>
      </c>
    </row>
    <row r="46" spans="2:26" ht="13.5" customHeight="1" x14ac:dyDescent="0.25">
      <c r="B46" s="168">
        <v>500</v>
      </c>
      <c r="C46" s="179">
        <f>IF(logic!$D$98=1,C165,C201)</f>
        <v>280</v>
      </c>
      <c r="D46" s="180">
        <f>IF(logic!$D$98=1,D165,D201)</f>
        <v>365</v>
      </c>
      <c r="E46" s="180">
        <f>IF(logic!$D$98=1,E165,E201)</f>
        <v>507</v>
      </c>
      <c r="F46" s="180">
        <f>IF(logic!$D$98=1,F165,F201)</f>
        <v>638</v>
      </c>
      <c r="G46" s="181">
        <f>IF(logic!$D$98=1,G165,G201)</f>
        <v>795</v>
      </c>
      <c r="H46" s="179">
        <f>IF(logic!$D$98=1,H165,H201)</f>
        <v>280</v>
      </c>
      <c r="I46" s="180">
        <f>IF(logic!$D$98=1,I165,I201)</f>
        <v>365</v>
      </c>
      <c r="J46" s="180">
        <f>IF(logic!$D$98=1,J165,J201)</f>
        <v>507</v>
      </c>
      <c r="K46" s="180">
        <f>IF(logic!$D$98=1,K165,K201)</f>
        <v>638</v>
      </c>
      <c r="L46" s="181">
        <f>IF(logic!$D$98=1,L165,L201)</f>
        <v>795</v>
      </c>
      <c r="M46" s="207">
        <v>500</v>
      </c>
      <c r="O46" s="207">
        <v>500</v>
      </c>
      <c r="P46" s="179">
        <v>318</v>
      </c>
      <c r="Q46" s="180">
        <v>413</v>
      </c>
      <c r="R46" s="180">
        <v>567</v>
      </c>
      <c r="S46" s="180">
        <v>703</v>
      </c>
      <c r="T46" s="181">
        <v>859</v>
      </c>
      <c r="U46" s="169"/>
      <c r="V46" s="170"/>
      <c r="W46" s="170"/>
      <c r="X46" s="170"/>
      <c r="Y46" s="171"/>
      <c r="Z46" s="168">
        <v>500</v>
      </c>
    </row>
    <row r="47" spans="2:26" ht="13.5" customHeight="1" x14ac:dyDescent="0.25">
      <c r="B47" s="10">
        <v>600</v>
      </c>
      <c r="C47" s="179">
        <f>IF(logic!$D$98=1,C166,C202)</f>
        <v>329</v>
      </c>
      <c r="D47" s="180">
        <f>IF(logic!$D$98=1,D166,D202)</f>
        <v>429</v>
      </c>
      <c r="E47" s="180">
        <f>IF(logic!$D$98=1,E166,E202)</f>
        <v>596</v>
      </c>
      <c r="F47" s="180">
        <f>IF(logic!$D$98=1,F166,F202)</f>
        <v>750</v>
      </c>
      <c r="G47" s="181">
        <f>IF(logic!$D$98=1,G166,G202)</f>
        <v>934</v>
      </c>
      <c r="H47" s="179">
        <f>IF(logic!$D$98=1,H166,H202)</f>
        <v>329</v>
      </c>
      <c r="I47" s="180">
        <f>IF(logic!$D$98=1,I166,I202)</f>
        <v>429</v>
      </c>
      <c r="J47" s="180">
        <f>IF(logic!$D$98=1,J166,J202)</f>
        <v>596</v>
      </c>
      <c r="K47" s="180">
        <f>IF(logic!$D$98=1,K166,K202)</f>
        <v>750</v>
      </c>
      <c r="L47" s="181">
        <f>IF(logic!$D$98=1,L166,L202)</f>
        <v>934</v>
      </c>
      <c r="M47" s="172">
        <v>600</v>
      </c>
      <c r="O47" s="172">
        <v>600</v>
      </c>
      <c r="P47" s="179">
        <v>372</v>
      </c>
      <c r="Q47" s="180">
        <v>482</v>
      </c>
      <c r="R47" s="180">
        <v>662</v>
      </c>
      <c r="S47" s="180">
        <v>820</v>
      </c>
      <c r="T47" s="181">
        <v>1003</v>
      </c>
      <c r="U47" s="75"/>
      <c r="V47" s="76"/>
      <c r="W47" s="76"/>
      <c r="X47" s="76"/>
      <c r="Y47" s="77"/>
      <c r="Z47" s="10">
        <v>600</v>
      </c>
    </row>
    <row r="48" spans="2:26" ht="13.5" customHeight="1" thickBot="1" x14ac:dyDescent="0.3">
      <c r="B48" s="11">
        <v>750</v>
      </c>
      <c r="C48" s="191">
        <f>IF(logic!$D$98=1,C167,C203)</f>
        <v>400</v>
      </c>
      <c r="D48" s="192">
        <f>IF(logic!$D$98=1,D167,D203)</f>
        <v>522</v>
      </c>
      <c r="E48" s="192">
        <f>IF(logic!$D$98=1,E167,E203)</f>
        <v>726</v>
      </c>
      <c r="F48" s="192">
        <f>IF(logic!$D$98=1,F167,F203)</f>
        <v>913</v>
      </c>
      <c r="G48" s="193">
        <f>IF(logic!$D$98=1,G167,G203)</f>
        <v>1138</v>
      </c>
      <c r="H48" s="191">
        <f>IF(logic!$D$98=1,H167,H203)</f>
        <v>400</v>
      </c>
      <c r="I48" s="192">
        <f>IF(logic!$D$98=1,I167,I203)</f>
        <v>522</v>
      </c>
      <c r="J48" s="192">
        <f>IF(logic!$D$98=1,J167,J203)</f>
        <v>726</v>
      </c>
      <c r="K48" s="192">
        <f>IF(logic!$D$98=1,K167,K203)</f>
        <v>913</v>
      </c>
      <c r="L48" s="193">
        <f>IF(logic!$D$98=1,L167,L203)</f>
        <v>1138</v>
      </c>
      <c r="M48" s="11">
        <v>750</v>
      </c>
      <c r="O48" s="11">
        <v>750</v>
      </c>
      <c r="P48" s="191">
        <v>449</v>
      </c>
      <c r="Q48" s="192">
        <v>583</v>
      </c>
      <c r="R48" s="192">
        <v>799</v>
      </c>
      <c r="S48" s="192">
        <v>991</v>
      </c>
      <c r="T48" s="193">
        <v>1211</v>
      </c>
      <c r="U48" s="78"/>
      <c r="V48" s="79"/>
      <c r="W48" s="79"/>
      <c r="X48" s="79"/>
      <c r="Y48" s="80"/>
      <c r="Z48" s="11">
        <v>750</v>
      </c>
    </row>
    <row r="49" spans="2:26" ht="13.5" customHeight="1" thickBot="1" x14ac:dyDescent="0.3">
      <c r="B49" s="177"/>
      <c r="C49" s="177"/>
      <c r="D49" s="177"/>
      <c r="E49" s="177"/>
      <c r="F49" s="177"/>
      <c r="G49" s="177"/>
      <c r="H49" s="177"/>
      <c r="I49" s="177"/>
      <c r="J49" s="177"/>
      <c r="K49" s="177"/>
      <c r="L49" s="177"/>
      <c r="M49" s="177"/>
      <c r="O49" s="177"/>
      <c r="P49" s="177"/>
      <c r="Q49" s="177"/>
      <c r="R49" s="177"/>
      <c r="S49" s="177"/>
      <c r="T49" s="177"/>
      <c r="U49" s="178"/>
      <c r="V49" s="178"/>
      <c r="W49" s="178"/>
      <c r="X49" s="178"/>
      <c r="Y49" s="178"/>
    </row>
    <row r="50" spans="2:26" ht="13.5" customHeight="1" thickBot="1" x14ac:dyDescent="0.3">
      <c r="B50" s="177"/>
      <c r="C50" s="35" t="s">
        <v>12</v>
      </c>
      <c r="D50" s="36"/>
      <c r="E50" s="36"/>
      <c r="F50" s="36"/>
      <c r="G50" s="36"/>
      <c r="H50" s="35" t="s">
        <v>13</v>
      </c>
      <c r="I50" s="36"/>
      <c r="J50" s="36"/>
      <c r="K50" s="36"/>
      <c r="L50" s="37"/>
      <c r="M50" s="34"/>
      <c r="O50" s="34"/>
      <c r="P50" s="35" t="s">
        <v>12</v>
      </c>
      <c r="Q50" s="36"/>
      <c r="R50" s="36"/>
      <c r="S50" s="36"/>
      <c r="T50" s="36"/>
      <c r="U50" s="35" t="s">
        <v>13</v>
      </c>
      <c r="V50" s="36"/>
      <c r="W50" s="36"/>
      <c r="X50" s="36"/>
      <c r="Y50" s="37"/>
      <c r="Z50" s="34"/>
    </row>
    <row r="51" spans="2:26" ht="13.5" customHeight="1" x14ac:dyDescent="0.25">
      <c r="B51" s="7" t="s">
        <v>9</v>
      </c>
      <c r="C51" s="38" t="s">
        <v>10</v>
      </c>
      <c r="D51" s="39"/>
      <c r="E51" s="39"/>
      <c r="F51" s="39"/>
      <c r="G51" s="40"/>
      <c r="H51" s="38" t="s">
        <v>10</v>
      </c>
      <c r="I51" s="39"/>
      <c r="J51" s="39"/>
      <c r="K51" s="39"/>
      <c r="L51" s="40"/>
      <c r="M51" s="7" t="s">
        <v>9</v>
      </c>
      <c r="O51" s="7" t="s">
        <v>9</v>
      </c>
      <c r="P51" s="38" t="s">
        <v>10</v>
      </c>
      <c r="Q51" s="39"/>
      <c r="R51" s="39"/>
      <c r="S51" s="39"/>
      <c r="T51" s="40"/>
      <c r="U51" s="38" t="s">
        <v>10</v>
      </c>
      <c r="V51" s="39"/>
      <c r="W51" s="39"/>
      <c r="X51" s="39"/>
      <c r="Y51" s="40"/>
      <c r="Z51" s="7" t="s">
        <v>9</v>
      </c>
    </row>
    <row r="52" spans="2:26" ht="13.5" customHeight="1" thickBot="1" x14ac:dyDescent="0.3">
      <c r="B52" s="8" t="s">
        <v>11</v>
      </c>
      <c r="C52" s="15">
        <v>700</v>
      </c>
      <c r="D52" s="16">
        <v>900</v>
      </c>
      <c r="E52" s="16">
        <v>1220</v>
      </c>
      <c r="F52" s="16">
        <v>1500</v>
      </c>
      <c r="G52" s="17">
        <v>1820</v>
      </c>
      <c r="H52" s="15">
        <v>700</v>
      </c>
      <c r="I52" s="16">
        <v>900</v>
      </c>
      <c r="J52" s="16">
        <v>1220</v>
      </c>
      <c r="K52" s="16">
        <v>1500</v>
      </c>
      <c r="L52" s="17">
        <v>1820</v>
      </c>
      <c r="M52" s="8" t="s">
        <v>11</v>
      </c>
      <c r="O52" s="8" t="s">
        <v>11</v>
      </c>
      <c r="P52" s="15">
        <v>700</v>
      </c>
      <c r="Q52" s="16">
        <v>900</v>
      </c>
      <c r="R52" s="16">
        <v>1220</v>
      </c>
      <c r="S52" s="16">
        <v>1500</v>
      </c>
      <c r="T52" s="17">
        <v>1820</v>
      </c>
      <c r="U52" s="15">
        <v>700</v>
      </c>
      <c r="V52" s="16">
        <v>900</v>
      </c>
      <c r="W52" s="16">
        <v>1220</v>
      </c>
      <c r="X52" s="16">
        <v>1500</v>
      </c>
      <c r="Y52" s="17">
        <v>1820</v>
      </c>
      <c r="Z52" s="8" t="s">
        <v>11</v>
      </c>
    </row>
    <row r="53" spans="2:26" ht="13.5" customHeight="1" x14ac:dyDescent="0.25">
      <c r="B53" s="9">
        <v>450</v>
      </c>
      <c r="C53" s="182">
        <f>IF(logic!$D$98=1,C172,C208)</f>
        <v>1.2225999999999999</v>
      </c>
      <c r="D53" s="183">
        <f>IF(logic!$D$98=1,D172,D208)</f>
        <v>1.2358</v>
      </c>
      <c r="E53" s="183">
        <f>IF(logic!$D$98=1,E172,E208)</f>
        <v>1.2567999999999999</v>
      </c>
      <c r="F53" s="183">
        <f>IF(logic!$D$98=1,F172,F208)</f>
        <v>1.2521</v>
      </c>
      <c r="G53" s="184">
        <f>IF(logic!$D$98=1,G172,G208)</f>
        <v>1.2421</v>
      </c>
      <c r="H53" s="182">
        <f>IF(logic!$D$98=1,H172,H208)</f>
        <v>1.2225999999999999</v>
      </c>
      <c r="I53" s="183">
        <f>IF(logic!$D$98=1,I172,I208)</f>
        <v>1.2358</v>
      </c>
      <c r="J53" s="183">
        <f>IF(logic!$D$98=1,J172,J208)</f>
        <v>1.2567999999999999</v>
      </c>
      <c r="K53" s="183">
        <f>IF(logic!$D$98=1,K172,K208)</f>
        <v>1.2521</v>
      </c>
      <c r="L53" s="184">
        <f>IF(logic!$D$98=1,L172,L208)</f>
        <v>1.2421</v>
      </c>
      <c r="M53" s="168">
        <v>450</v>
      </c>
      <c r="O53" s="168">
        <v>450</v>
      </c>
      <c r="P53" s="182">
        <v>1.2765</v>
      </c>
      <c r="Q53" s="183">
        <v>1.2783</v>
      </c>
      <c r="R53" s="183">
        <v>1.2810999999999999</v>
      </c>
      <c r="S53" s="183">
        <v>1.2836000000000001</v>
      </c>
      <c r="T53" s="184">
        <v>1.2864</v>
      </c>
      <c r="U53" s="72"/>
      <c r="V53" s="73"/>
      <c r="W53" s="73"/>
      <c r="X53" s="73"/>
      <c r="Y53" s="74"/>
      <c r="Z53" s="9">
        <v>450</v>
      </c>
    </row>
    <row r="54" spans="2:26" ht="13.5" customHeight="1" x14ac:dyDescent="0.25">
      <c r="B54" s="168">
        <v>500</v>
      </c>
      <c r="C54" s="182">
        <f>IF(logic!$D$98=1,C173,C209)</f>
        <v>1.2225999999999999</v>
      </c>
      <c r="D54" s="183">
        <f>IF(logic!$D$98=1,D173,D209)</f>
        <v>1.2346999999999999</v>
      </c>
      <c r="E54" s="183">
        <f>IF(logic!$D$98=1,E173,E209)</f>
        <v>1.254</v>
      </c>
      <c r="F54" s="183">
        <f>IF(logic!$D$98=1,F173,F209)</f>
        <v>1.2483</v>
      </c>
      <c r="G54" s="184">
        <f>IF(logic!$D$98=1,G173,G209)</f>
        <v>1.2393000000000001</v>
      </c>
      <c r="H54" s="182">
        <f>IF(logic!$D$98=1,H173,H209)</f>
        <v>1.2225999999999999</v>
      </c>
      <c r="I54" s="183">
        <f>IF(logic!$D$98=1,I173,I209)</f>
        <v>1.2346999999999999</v>
      </c>
      <c r="J54" s="183">
        <f>IF(logic!$D$98=1,J173,J209)</f>
        <v>1.254</v>
      </c>
      <c r="K54" s="183">
        <f>IF(logic!$D$98=1,K173,K209)</f>
        <v>1.2483</v>
      </c>
      <c r="L54" s="184">
        <f>IF(logic!$D$98=1,L173,L209)</f>
        <v>1.2393000000000001</v>
      </c>
      <c r="M54" s="207">
        <v>500</v>
      </c>
      <c r="O54" s="207">
        <v>500</v>
      </c>
      <c r="P54" s="182">
        <v>1.2655000000000001</v>
      </c>
      <c r="Q54" s="183">
        <v>1.2690999999999999</v>
      </c>
      <c r="R54" s="183">
        <v>1.2748999999999999</v>
      </c>
      <c r="S54" s="183">
        <v>1.28</v>
      </c>
      <c r="T54" s="184">
        <v>1.2859</v>
      </c>
      <c r="U54" s="169"/>
      <c r="V54" s="170"/>
      <c r="W54" s="170"/>
      <c r="X54" s="170"/>
      <c r="Y54" s="171"/>
      <c r="Z54" s="168">
        <v>500</v>
      </c>
    </row>
    <row r="55" spans="2:26" ht="13.5" customHeight="1" x14ac:dyDescent="0.25">
      <c r="B55" s="10">
        <v>600</v>
      </c>
      <c r="C55" s="182">
        <f>IF(logic!$D$98=1,C174,C210)</f>
        <v>1.2224999999999999</v>
      </c>
      <c r="D55" s="183">
        <f>IF(logic!$D$98=1,D174,D210)</f>
        <v>1.2324999999999999</v>
      </c>
      <c r="E55" s="183">
        <f>IF(logic!$D$98=1,E174,E210)</f>
        <v>1.2484</v>
      </c>
      <c r="F55" s="183">
        <f>IF(logic!$D$98=1,F174,F210)</f>
        <v>1.2407999999999999</v>
      </c>
      <c r="G55" s="184">
        <f>IF(logic!$D$98=1,G174,G210)</f>
        <v>1.2337</v>
      </c>
      <c r="H55" s="182">
        <f>IF(logic!$D$98=1,H174,H210)</f>
        <v>1.2224999999999999</v>
      </c>
      <c r="I55" s="183">
        <f>IF(logic!$D$98=1,I174,I210)</f>
        <v>1.2324999999999999</v>
      </c>
      <c r="J55" s="183">
        <f>IF(logic!$D$98=1,J174,J210)</f>
        <v>1.2484</v>
      </c>
      <c r="K55" s="183">
        <f>IF(logic!$D$98=1,K174,K210)</f>
        <v>1.2407999999999999</v>
      </c>
      <c r="L55" s="184">
        <f>IF(logic!$D$98=1,L174,L210)</f>
        <v>1.2337</v>
      </c>
      <c r="M55" s="172">
        <v>600</v>
      </c>
      <c r="O55" s="172">
        <v>600</v>
      </c>
      <c r="P55" s="182">
        <v>1.2435</v>
      </c>
      <c r="Q55" s="183">
        <v>1.2508999999999999</v>
      </c>
      <c r="R55" s="183">
        <v>1.2626999999999999</v>
      </c>
      <c r="S55" s="183">
        <v>1.2729999999999999</v>
      </c>
      <c r="T55" s="184">
        <v>1.2847999999999999</v>
      </c>
      <c r="U55" s="75"/>
      <c r="V55" s="76"/>
      <c r="W55" s="76"/>
      <c r="X55" s="76"/>
      <c r="Y55" s="77"/>
      <c r="Z55" s="10">
        <v>600</v>
      </c>
    </row>
    <row r="56" spans="2:26" ht="13.5" customHeight="1" thickBot="1" x14ac:dyDescent="0.3">
      <c r="B56" s="11">
        <v>750</v>
      </c>
      <c r="C56" s="188">
        <f>IF(logic!$D$98=1,C175,C211)</f>
        <v>1.2223999999999999</v>
      </c>
      <c r="D56" s="189">
        <f>IF(logic!$D$98=1,D175,D211)</f>
        <v>1.2292000000000001</v>
      </c>
      <c r="E56" s="189">
        <f>IF(logic!$D$98=1,E175,E211)</f>
        <v>1.24</v>
      </c>
      <c r="F56" s="189">
        <f>IF(logic!$D$98=1,F175,F211)</f>
        <v>1.2294</v>
      </c>
      <c r="G56" s="190">
        <f>IF(logic!$D$98=1,G175,G211)</f>
        <v>1.2252000000000001</v>
      </c>
      <c r="H56" s="188">
        <f>IF(logic!$D$98=1,H175,H211)</f>
        <v>1.2223999999999999</v>
      </c>
      <c r="I56" s="189">
        <f>IF(logic!$D$98=1,I175,I211)</f>
        <v>1.2292000000000001</v>
      </c>
      <c r="J56" s="189">
        <f>IF(logic!$D$98=1,J175,J211)</f>
        <v>1.24</v>
      </c>
      <c r="K56" s="189">
        <f>IF(logic!$D$98=1,K175,K211)</f>
        <v>1.2294</v>
      </c>
      <c r="L56" s="190">
        <f>IF(logic!$D$98=1,L175,L211)</f>
        <v>1.2252000000000001</v>
      </c>
      <c r="M56" s="11">
        <v>750</v>
      </c>
      <c r="O56" s="11">
        <v>750</v>
      </c>
      <c r="P56" s="188">
        <v>1.2104999999999999</v>
      </c>
      <c r="Q56" s="189">
        <v>1.2235</v>
      </c>
      <c r="R56" s="189">
        <v>1.2442</v>
      </c>
      <c r="S56" s="189">
        <v>1.2624</v>
      </c>
      <c r="T56" s="190">
        <v>1.2830999999999999</v>
      </c>
      <c r="U56" s="78"/>
      <c r="V56" s="79"/>
      <c r="W56" s="79"/>
      <c r="X56" s="79"/>
      <c r="Y56" s="80"/>
      <c r="Z56" s="11">
        <v>750</v>
      </c>
    </row>
    <row r="57" spans="2:26" ht="15.75" thickBot="1" x14ac:dyDescent="0.3"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</row>
    <row r="58" spans="2:26" ht="15" customHeight="1" thickBot="1" x14ac:dyDescent="0.3">
      <c r="B58" s="34"/>
      <c r="C58" s="41" t="s">
        <v>20</v>
      </c>
      <c r="D58" s="42"/>
      <c r="E58" s="42"/>
      <c r="F58" s="43"/>
      <c r="G58" s="34"/>
      <c r="M58" s="34"/>
      <c r="O58" s="34"/>
      <c r="P58" s="41" t="s">
        <v>20</v>
      </c>
      <c r="Q58" s="42"/>
      <c r="R58" s="42"/>
      <c r="S58" s="43"/>
      <c r="T58" s="34"/>
      <c r="Z58" s="34"/>
    </row>
    <row r="59" spans="2:26" ht="15" customHeight="1" x14ac:dyDescent="0.25">
      <c r="B59" s="7" t="s">
        <v>9</v>
      </c>
      <c r="C59" s="44" t="s">
        <v>10</v>
      </c>
      <c r="D59" s="45"/>
      <c r="E59" s="45"/>
      <c r="F59" s="46"/>
      <c r="G59" s="34"/>
      <c r="M59" s="34"/>
      <c r="O59" s="7" t="s">
        <v>9</v>
      </c>
      <c r="P59" s="44" t="s">
        <v>10</v>
      </c>
      <c r="Q59" s="45"/>
      <c r="R59" s="45"/>
      <c r="S59" s="46"/>
      <c r="T59" s="34"/>
      <c r="Z59" s="34"/>
    </row>
    <row r="60" spans="2:26" ht="15" customHeight="1" thickBot="1" x14ac:dyDescent="0.3">
      <c r="B60" s="8" t="s">
        <v>11</v>
      </c>
      <c r="C60" s="15">
        <v>700</v>
      </c>
      <c r="D60" s="16">
        <v>900</v>
      </c>
      <c r="E60" s="16">
        <v>1220</v>
      </c>
      <c r="F60" s="17">
        <v>1500</v>
      </c>
      <c r="G60" s="34"/>
      <c r="M60" s="34"/>
      <c r="O60" s="8" t="s">
        <v>11</v>
      </c>
      <c r="P60" s="15">
        <v>700</v>
      </c>
      <c r="Q60" s="16">
        <v>900</v>
      </c>
      <c r="R60" s="16">
        <v>1220</v>
      </c>
      <c r="S60" s="17">
        <v>1500</v>
      </c>
      <c r="T60" s="34"/>
      <c r="Z60" s="34"/>
    </row>
    <row r="61" spans="2:26" ht="13.5" customHeight="1" x14ac:dyDescent="0.25">
      <c r="B61" s="9">
        <v>400</v>
      </c>
      <c r="C61" s="185">
        <v>198</v>
      </c>
      <c r="D61" s="186">
        <v>254</v>
      </c>
      <c r="E61" s="186">
        <v>345</v>
      </c>
      <c r="F61" s="187">
        <v>427</v>
      </c>
      <c r="G61" s="34"/>
      <c r="M61" s="34"/>
      <c r="O61" s="9">
        <v>400</v>
      </c>
      <c r="P61" s="185">
        <v>213</v>
      </c>
      <c r="Q61" s="186">
        <v>275</v>
      </c>
      <c r="R61" s="186">
        <v>373</v>
      </c>
      <c r="S61" s="187">
        <v>458</v>
      </c>
      <c r="T61" s="34"/>
      <c r="Z61" s="34"/>
    </row>
    <row r="62" spans="2:26" ht="13.5" customHeight="1" x14ac:dyDescent="0.25">
      <c r="B62" s="10">
        <v>500</v>
      </c>
      <c r="C62" s="179">
        <v>231</v>
      </c>
      <c r="D62" s="180">
        <v>297</v>
      </c>
      <c r="E62" s="180">
        <v>403</v>
      </c>
      <c r="F62" s="181">
        <v>499</v>
      </c>
      <c r="G62" s="34"/>
      <c r="M62" s="34"/>
      <c r="O62" s="10">
        <v>500</v>
      </c>
      <c r="P62" s="179">
        <v>249</v>
      </c>
      <c r="Q62" s="180">
        <v>322</v>
      </c>
      <c r="R62" s="180">
        <v>436</v>
      </c>
      <c r="S62" s="181">
        <v>536</v>
      </c>
      <c r="T62" s="34"/>
      <c r="Z62" s="34"/>
    </row>
    <row r="63" spans="2:26" ht="13.5" customHeight="1" thickBot="1" x14ac:dyDescent="0.3">
      <c r="B63" s="11">
        <v>600</v>
      </c>
      <c r="C63" s="191">
        <v>263</v>
      </c>
      <c r="D63" s="192">
        <v>337</v>
      </c>
      <c r="E63" s="192">
        <v>458</v>
      </c>
      <c r="F63" s="193">
        <v>567</v>
      </c>
      <c r="G63" s="34"/>
      <c r="M63" s="34"/>
      <c r="O63" s="11">
        <v>600</v>
      </c>
      <c r="P63" s="191">
        <v>283</v>
      </c>
      <c r="Q63" s="192">
        <v>365</v>
      </c>
      <c r="R63" s="192">
        <v>496</v>
      </c>
      <c r="S63" s="193">
        <v>609</v>
      </c>
      <c r="T63" s="34"/>
      <c r="Z63" s="34"/>
    </row>
    <row r="64" spans="2:26" ht="13.5" customHeight="1" thickBot="1" x14ac:dyDescent="0.3">
      <c r="B64" s="177"/>
      <c r="C64" s="177"/>
      <c r="D64" s="177"/>
      <c r="E64" s="177"/>
      <c r="F64" s="177"/>
      <c r="G64" s="34"/>
      <c r="M64" s="34"/>
      <c r="O64" s="177"/>
      <c r="P64" s="177"/>
      <c r="Q64" s="177"/>
      <c r="R64" s="177"/>
      <c r="S64" s="177"/>
      <c r="T64" s="34"/>
      <c r="Z64" s="34"/>
    </row>
    <row r="65" spans="2:26" ht="13.5" customHeight="1" thickBot="1" x14ac:dyDescent="0.3">
      <c r="B65" s="34"/>
      <c r="C65" s="41" t="s">
        <v>20</v>
      </c>
      <c r="D65" s="42"/>
      <c r="E65" s="42"/>
      <c r="F65" s="43"/>
      <c r="G65" s="34"/>
      <c r="M65" s="34"/>
      <c r="O65" s="34"/>
      <c r="P65" s="41" t="s">
        <v>20</v>
      </c>
      <c r="Q65" s="42"/>
      <c r="R65" s="42"/>
      <c r="S65" s="43"/>
      <c r="T65" s="34"/>
      <c r="Z65" s="34"/>
    </row>
    <row r="66" spans="2:26" ht="13.5" customHeight="1" x14ac:dyDescent="0.25">
      <c r="B66" s="7" t="s">
        <v>9</v>
      </c>
      <c r="C66" s="44" t="s">
        <v>10</v>
      </c>
      <c r="D66" s="45"/>
      <c r="E66" s="45"/>
      <c r="F66" s="46"/>
      <c r="G66" s="34"/>
      <c r="M66" s="34"/>
      <c r="O66" s="7" t="s">
        <v>9</v>
      </c>
      <c r="P66" s="44" t="s">
        <v>10</v>
      </c>
      <c r="Q66" s="45"/>
      <c r="R66" s="45"/>
      <c r="S66" s="46"/>
      <c r="T66" s="34"/>
      <c r="Z66" s="34"/>
    </row>
    <row r="67" spans="2:26" ht="13.5" customHeight="1" thickBot="1" x14ac:dyDescent="0.3">
      <c r="B67" s="8" t="s">
        <v>11</v>
      </c>
      <c r="C67" s="15">
        <v>700</v>
      </c>
      <c r="D67" s="16">
        <v>900</v>
      </c>
      <c r="E67" s="16">
        <v>1220</v>
      </c>
      <c r="F67" s="17">
        <v>1500</v>
      </c>
      <c r="G67" s="34"/>
      <c r="M67" s="34"/>
      <c r="O67" s="8" t="s">
        <v>11</v>
      </c>
      <c r="P67" s="15">
        <v>700</v>
      </c>
      <c r="Q67" s="16">
        <v>900</v>
      </c>
      <c r="R67" s="16">
        <v>1220</v>
      </c>
      <c r="S67" s="17">
        <v>1500</v>
      </c>
      <c r="T67" s="34"/>
      <c r="Z67" s="34"/>
    </row>
    <row r="68" spans="2:26" ht="13.5" customHeight="1" x14ac:dyDescent="0.25">
      <c r="B68" s="9">
        <v>400</v>
      </c>
      <c r="C68" s="194">
        <v>1.2346999999999999</v>
      </c>
      <c r="D68" s="195">
        <v>1.2153</v>
      </c>
      <c r="E68" s="195">
        <v>1.2274</v>
      </c>
      <c r="F68" s="196">
        <v>1.2423</v>
      </c>
      <c r="G68" s="34"/>
      <c r="M68" s="34"/>
      <c r="O68" s="9">
        <v>400</v>
      </c>
      <c r="P68" s="194">
        <v>1.2674000000000001</v>
      </c>
      <c r="Q68" s="195">
        <v>1.2364999999999999</v>
      </c>
      <c r="R68" s="195">
        <v>1.2274</v>
      </c>
      <c r="S68" s="196">
        <v>1.264</v>
      </c>
      <c r="T68" s="34"/>
      <c r="Z68" s="34"/>
    </row>
    <row r="69" spans="2:26" ht="13.5" customHeight="1" x14ac:dyDescent="0.25">
      <c r="B69" s="10">
        <v>500</v>
      </c>
      <c r="C69" s="182">
        <v>1.2278</v>
      </c>
      <c r="D69" s="183">
        <v>1.2219</v>
      </c>
      <c r="E69" s="183">
        <v>1.2341</v>
      </c>
      <c r="F69" s="184">
        <v>1.2456</v>
      </c>
      <c r="G69" s="34"/>
      <c r="M69" s="34"/>
      <c r="O69" s="10">
        <v>500</v>
      </c>
      <c r="P69" s="182">
        <v>1.2616000000000001</v>
      </c>
      <c r="Q69" s="183">
        <v>1.2432000000000001</v>
      </c>
      <c r="R69" s="183">
        <v>1.2341</v>
      </c>
      <c r="S69" s="184">
        <v>1.2567999999999999</v>
      </c>
      <c r="T69" s="34"/>
      <c r="Z69" s="34"/>
    </row>
    <row r="70" spans="2:26" ht="13.5" customHeight="1" thickBot="1" x14ac:dyDescent="0.3">
      <c r="B70" s="11">
        <v>600</v>
      </c>
      <c r="C70" s="188">
        <v>1.2209000000000001</v>
      </c>
      <c r="D70" s="189">
        <v>1.2284999999999999</v>
      </c>
      <c r="E70" s="189">
        <v>1.2406999999999999</v>
      </c>
      <c r="F70" s="190">
        <v>1.2488999999999999</v>
      </c>
      <c r="G70" s="34"/>
      <c r="M70" s="34"/>
      <c r="O70" s="11">
        <v>600</v>
      </c>
      <c r="P70" s="188">
        <v>1.2557</v>
      </c>
      <c r="Q70" s="189">
        <v>1.2499</v>
      </c>
      <c r="R70" s="189">
        <v>1.2406999999999999</v>
      </c>
      <c r="S70" s="190">
        <v>1.2532000000000001</v>
      </c>
      <c r="T70" s="34"/>
      <c r="Z70" s="34"/>
    </row>
    <row r="71" spans="2:26" ht="15.75" thickBot="1" x14ac:dyDescent="0.3"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</row>
    <row r="72" spans="2:26" ht="15.75" thickBot="1" x14ac:dyDescent="0.3">
      <c r="B72" s="34"/>
      <c r="C72" s="41" t="s">
        <v>270</v>
      </c>
      <c r="D72" s="42"/>
      <c r="E72" s="42"/>
      <c r="F72" s="43"/>
      <c r="G72" s="34"/>
      <c r="H72" s="34"/>
      <c r="I72" s="34"/>
      <c r="J72" s="34"/>
      <c r="K72" s="34"/>
      <c r="L72" s="34"/>
      <c r="M72" s="34"/>
      <c r="O72" s="34"/>
      <c r="P72" s="41" t="s">
        <v>270</v>
      </c>
      <c r="Q72" s="42"/>
      <c r="R72" s="42"/>
      <c r="S72" s="43"/>
      <c r="T72" s="34"/>
      <c r="U72" s="34"/>
      <c r="V72" s="34"/>
      <c r="W72" s="34"/>
      <c r="X72" s="34"/>
      <c r="Y72" s="34"/>
      <c r="Z72" s="34"/>
    </row>
    <row r="73" spans="2:26" x14ac:dyDescent="0.25">
      <c r="B73" s="7" t="s">
        <v>9</v>
      </c>
      <c r="C73" s="44" t="s">
        <v>10</v>
      </c>
      <c r="D73" s="45"/>
      <c r="E73" s="45"/>
      <c r="F73" s="46"/>
      <c r="G73" s="34"/>
      <c r="H73" s="34"/>
      <c r="I73" s="34"/>
      <c r="J73" s="34"/>
      <c r="K73" s="34"/>
      <c r="L73" s="34"/>
      <c r="M73" s="34"/>
      <c r="O73" s="7" t="s">
        <v>9</v>
      </c>
      <c r="P73" s="44" t="s">
        <v>10</v>
      </c>
      <c r="Q73" s="45"/>
      <c r="R73" s="45"/>
      <c r="S73" s="46"/>
      <c r="T73" s="34"/>
      <c r="U73" s="34"/>
      <c r="V73" s="34"/>
      <c r="W73" s="34"/>
      <c r="X73" s="34"/>
      <c r="Y73" s="34"/>
      <c r="Z73" s="34"/>
    </row>
    <row r="74" spans="2:26" ht="15.75" thickBot="1" x14ac:dyDescent="0.3">
      <c r="B74" s="8" t="s">
        <v>11</v>
      </c>
      <c r="C74" s="15">
        <v>900</v>
      </c>
      <c r="D74" s="16">
        <v>1220</v>
      </c>
      <c r="E74" s="16">
        <v>1500</v>
      </c>
      <c r="F74" s="17">
        <v>1820</v>
      </c>
      <c r="G74" s="34"/>
      <c r="H74" s="34"/>
      <c r="I74" s="34"/>
      <c r="J74" s="34"/>
      <c r="K74" s="34"/>
      <c r="L74" s="34"/>
      <c r="M74" s="34"/>
      <c r="O74" s="8" t="s">
        <v>11</v>
      </c>
      <c r="P74" s="15">
        <v>900</v>
      </c>
      <c r="Q74" s="16">
        <v>1220</v>
      </c>
      <c r="R74" s="16">
        <v>1500</v>
      </c>
      <c r="S74" s="17">
        <v>1820</v>
      </c>
      <c r="T74" s="34"/>
      <c r="U74" s="34"/>
      <c r="V74" s="34"/>
      <c r="W74" s="34"/>
      <c r="X74" s="34"/>
      <c r="Y74" s="34"/>
      <c r="Z74" s="34"/>
    </row>
    <row r="75" spans="2:26" x14ac:dyDescent="0.25">
      <c r="B75" s="9">
        <v>450</v>
      </c>
      <c r="C75" s="185">
        <v>249</v>
      </c>
      <c r="D75" s="186">
        <v>338</v>
      </c>
      <c r="E75" s="186">
        <v>419</v>
      </c>
      <c r="F75" s="187">
        <v>516</v>
      </c>
      <c r="G75" s="34"/>
      <c r="H75" s="34"/>
      <c r="I75" s="34"/>
      <c r="J75" s="34"/>
      <c r="K75" s="34"/>
      <c r="L75" s="34"/>
      <c r="M75" s="34"/>
      <c r="O75" s="9">
        <v>450</v>
      </c>
      <c r="P75" s="72"/>
      <c r="Q75" s="73"/>
      <c r="R75" s="73"/>
      <c r="S75" s="74"/>
      <c r="T75" s="34"/>
      <c r="U75" s="34"/>
      <c r="V75" s="34"/>
      <c r="W75" s="34"/>
      <c r="X75" s="34"/>
      <c r="Y75" s="34"/>
      <c r="Z75" s="34"/>
    </row>
    <row r="76" spans="2:26" x14ac:dyDescent="0.25">
      <c r="B76" s="10">
        <v>600</v>
      </c>
      <c r="C76" s="179">
        <v>319</v>
      </c>
      <c r="D76" s="180">
        <v>433</v>
      </c>
      <c r="E76" s="180">
        <v>537</v>
      </c>
      <c r="F76" s="181">
        <v>662</v>
      </c>
      <c r="G76" s="34"/>
      <c r="H76" s="34"/>
      <c r="I76" s="34"/>
      <c r="J76" s="34"/>
      <c r="K76" s="34"/>
      <c r="L76" s="34"/>
      <c r="M76" s="34"/>
      <c r="O76" s="10">
        <v>600</v>
      </c>
      <c r="P76" s="75"/>
      <c r="Q76" s="76"/>
      <c r="R76" s="76"/>
      <c r="S76" s="77"/>
      <c r="T76" s="34"/>
      <c r="U76" s="34"/>
      <c r="V76" s="34"/>
      <c r="W76" s="34"/>
      <c r="X76" s="34"/>
      <c r="Y76" s="34"/>
      <c r="Z76" s="34"/>
    </row>
    <row r="77" spans="2:26" ht="15.75" thickBot="1" x14ac:dyDescent="0.3">
      <c r="B77" s="11">
        <v>750</v>
      </c>
      <c r="C77" s="191">
        <v>387</v>
      </c>
      <c r="D77" s="192">
        <v>526</v>
      </c>
      <c r="E77" s="192">
        <v>652</v>
      </c>
      <c r="F77" s="193">
        <v>802</v>
      </c>
      <c r="G77" s="34"/>
      <c r="H77" s="34"/>
      <c r="I77" s="34"/>
      <c r="J77" s="34"/>
      <c r="K77" s="34"/>
      <c r="L77" s="34"/>
      <c r="M77" s="34"/>
      <c r="O77" s="11">
        <v>750</v>
      </c>
      <c r="P77" s="78"/>
      <c r="Q77" s="79"/>
      <c r="R77" s="79"/>
      <c r="S77" s="80"/>
      <c r="T77" s="34"/>
      <c r="U77" s="34"/>
      <c r="V77" s="34"/>
      <c r="W77" s="34"/>
      <c r="X77" s="34"/>
      <c r="Y77" s="34"/>
      <c r="Z77" s="34"/>
    </row>
    <row r="78" spans="2:26" ht="15.75" thickBot="1" x14ac:dyDescent="0.3">
      <c r="B78" s="176"/>
      <c r="C78" s="177"/>
      <c r="D78" s="177"/>
      <c r="E78" s="177"/>
      <c r="F78" s="177"/>
      <c r="G78" s="34"/>
      <c r="H78" s="34"/>
      <c r="I78" s="34"/>
      <c r="J78" s="34"/>
      <c r="K78" s="34"/>
      <c r="L78" s="34"/>
      <c r="M78" s="34"/>
      <c r="O78" s="176"/>
      <c r="P78" s="178"/>
      <c r="Q78" s="178"/>
      <c r="R78" s="178"/>
      <c r="S78" s="178"/>
      <c r="T78" s="34"/>
      <c r="U78" s="34"/>
      <c r="V78" s="34"/>
      <c r="W78" s="34"/>
      <c r="X78" s="34"/>
      <c r="Y78" s="34"/>
      <c r="Z78" s="34"/>
    </row>
    <row r="79" spans="2:26" ht="15.75" thickBot="1" x14ac:dyDescent="0.3">
      <c r="B79" s="34"/>
      <c r="C79" s="41" t="s">
        <v>270</v>
      </c>
      <c r="D79" s="42"/>
      <c r="E79" s="42"/>
      <c r="F79" s="43"/>
      <c r="G79" s="34"/>
      <c r="H79" s="34"/>
      <c r="I79" s="34"/>
      <c r="J79" s="34"/>
      <c r="K79" s="34"/>
      <c r="L79" s="34"/>
      <c r="M79" s="34"/>
      <c r="O79" s="34"/>
      <c r="P79" s="41" t="s">
        <v>270</v>
      </c>
      <c r="Q79" s="42"/>
      <c r="R79" s="42"/>
      <c r="S79" s="43"/>
      <c r="T79" s="34"/>
      <c r="U79" s="34"/>
      <c r="V79" s="34"/>
      <c r="W79" s="34"/>
      <c r="X79" s="34"/>
      <c r="Y79" s="34"/>
      <c r="Z79" s="34"/>
    </row>
    <row r="80" spans="2:26" x14ac:dyDescent="0.25">
      <c r="B80" s="7" t="s">
        <v>9</v>
      </c>
      <c r="C80" s="44" t="s">
        <v>10</v>
      </c>
      <c r="D80" s="45"/>
      <c r="E80" s="45"/>
      <c r="F80" s="46"/>
      <c r="G80" s="34"/>
      <c r="H80" s="34"/>
      <c r="I80" s="34"/>
      <c r="J80" s="34"/>
      <c r="K80" s="34"/>
      <c r="L80" s="34"/>
      <c r="M80" s="34"/>
      <c r="O80" s="7" t="s">
        <v>9</v>
      </c>
      <c r="P80" s="44" t="s">
        <v>10</v>
      </c>
      <c r="Q80" s="45"/>
      <c r="R80" s="45"/>
      <c r="S80" s="46"/>
      <c r="T80" s="34"/>
      <c r="U80" s="34"/>
      <c r="V80" s="34"/>
      <c r="W80" s="34"/>
      <c r="X80" s="34"/>
      <c r="Y80" s="34"/>
      <c r="Z80" s="34"/>
    </row>
    <row r="81" spans="2:26" ht="15.75" thickBot="1" x14ac:dyDescent="0.3">
      <c r="B81" s="8" t="s">
        <v>11</v>
      </c>
      <c r="C81" s="15">
        <v>900</v>
      </c>
      <c r="D81" s="16">
        <v>1220</v>
      </c>
      <c r="E81" s="16">
        <v>1500</v>
      </c>
      <c r="F81" s="17">
        <v>1820</v>
      </c>
      <c r="G81" s="34"/>
      <c r="H81" s="34"/>
      <c r="I81" s="34"/>
      <c r="J81" s="34"/>
      <c r="K81" s="34"/>
      <c r="L81" s="34"/>
      <c r="M81" s="34"/>
      <c r="O81" s="8" t="s">
        <v>11</v>
      </c>
      <c r="P81" s="15">
        <v>900</v>
      </c>
      <c r="Q81" s="16">
        <v>1220</v>
      </c>
      <c r="R81" s="16">
        <v>1500</v>
      </c>
      <c r="S81" s="17">
        <v>1820</v>
      </c>
      <c r="T81" s="34"/>
      <c r="U81" s="34"/>
      <c r="V81" s="34"/>
      <c r="W81" s="34"/>
      <c r="X81" s="34"/>
      <c r="Y81" s="34"/>
      <c r="Z81" s="34"/>
    </row>
    <row r="82" spans="2:26" x14ac:dyDescent="0.25">
      <c r="B82" s="9">
        <v>450</v>
      </c>
      <c r="C82" s="194">
        <v>1.2519</v>
      </c>
      <c r="D82" s="195">
        <v>1.2768999999999999</v>
      </c>
      <c r="E82" s="195">
        <v>1.266</v>
      </c>
      <c r="F82" s="196">
        <v>1.2625</v>
      </c>
      <c r="G82" s="34"/>
      <c r="H82" s="34"/>
      <c r="I82" s="34"/>
      <c r="J82" s="34"/>
      <c r="K82" s="34"/>
      <c r="L82" s="34"/>
      <c r="M82" s="34"/>
      <c r="O82" s="9">
        <v>450</v>
      </c>
      <c r="P82" s="72"/>
      <c r="Q82" s="73"/>
      <c r="R82" s="73"/>
      <c r="S82" s="74"/>
      <c r="T82" s="34"/>
      <c r="U82" s="34"/>
      <c r="V82" s="34"/>
      <c r="W82" s="34"/>
      <c r="X82" s="34"/>
      <c r="Y82" s="34"/>
      <c r="Z82" s="34"/>
    </row>
    <row r="83" spans="2:26" x14ac:dyDescent="0.25">
      <c r="B83" s="10">
        <v>600</v>
      </c>
      <c r="C83" s="182">
        <v>1.2522</v>
      </c>
      <c r="D83" s="183">
        <v>1.2709999999999999</v>
      </c>
      <c r="E83" s="183">
        <v>1.2606999999999999</v>
      </c>
      <c r="F83" s="184">
        <v>1.2563</v>
      </c>
      <c r="G83" s="34"/>
      <c r="H83" s="34"/>
      <c r="I83" s="34"/>
      <c r="J83" s="34"/>
      <c r="K83" s="34"/>
      <c r="L83" s="34"/>
      <c r="M83" s="34"/>
      <c r="O83" s="10">
        <v>600</v>
      </c>
      <c r="P83" s="75"/>
      <c r="Q83" s="76"/>
      <c r="R83" s="76"/>
      <c r="S83" s="77"/>
      <c r="T83" s="34"/>
      <c r="U83" s="34"/>
      <c r="V83" s="34"/>
      <c r="W83" s="34"/>
      <c r="X83" s="34"/>
      <c r="Y83" s="34"/>
      <c r="Z83" s="34"/>
    </row>
    <row r="84" spans="2:26" ht="15.75" thickBot="1" x14ac:dyDescent="0.3">
      <c r="B84" s="11">
        <v>750</v>
      </c>
      <c r="C84" s="188">
        <v>1.2525999999999999</v>
      </c>
      <c r="D84" s="189">
        <v>1.2649999999999999</v>
      </c>
      <c r="E84" s="189">
        <v>1.2553000000000001</v>
      </c>
      <c r="F84" s="190">
        <v>1.25</v>
      </c>
      <c r="G84" s="34"/>
      <c r="H84" s="34"/>
      <c r="I84" s="34"/>
      <c r="J84" s="34"/>
      <c r="K84" s="34"/>
      <c r="L84" s="34"/>
      <c r="M84" s="34"/>
      <c r="O84" s="11">
        <v>750</v>
      </c>
      <c r="P84" s="78"/>
      <c r="Q84" s="79"/>
      <c r="R84" s="79"/>
      <c r="S84" s="80"/>
      <c r="T84" s="34"/>
      <c r="U84" s="34"/>
      <c r="V84" s="34"/>
      <c r="W84" s="34"/>
      <c r="X84" s="34"/>
      <c r="Y84" s="34"/>
      <c r="Z84" s="34"/>
    </row>
    <row r="85" spans="2:26" ht="15.75" thickBot="1" x14ac:dyDescent="0.3"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</row>
    <row r="86" spans="2:26" ht="15" customHeight="1" thickBot="1" x14ac:dyDescent="0.3">
      <c r="B86" s="34"/>
      <c r="C86" s="35" t="s">
        <v>267</v>
      </c>
      <c r="D86" s="36"/>
      <c r="E86" s="36"/>
      <c r="F86" s="36"/>
      <c r="G86" s="36"/>
      <c r="H86" s="35" t="s">
        <v>269</v>
      </c>
      <c r="I86" s="36"/>
      <c r="J86" s="36"/>
      <c r="K86" s="36"/>
      <c r="L86" s="37"/>
      <c r="M86" s="34"/>
      <c r="O86" s="34"/>
      <c r="P86" s="35" t="s">
        <v>267</v>
      </c>
      <c r="Q86" s="36"/>
      <c r="R86" s="36"/>
      <c r="S86" s="36"/>
      <c r="T86" s="36"/>
      <c r="U86" s="35" t="s">
        <v>269</v>
      </c>
      <c r="V86" s="36"/>
      <c r="W86" s="36"/>
      <c r="X86" s="36"/>
      <c r="Y86" s="37"/>
      <c r="Z86" s="34"/>
    </row>
    <row r="87" spans="2:26" ht="15" customHeight="1" x14ac:dyDescent="0.25">
      <c r="B87" s="7" t="s">
        <v>9</v>
      </c>
      <c r="C87" s="38" t="s">
        <v>10</v>
      </c>
      <c r="D87" s="39"/>
      <c r="E87" s="39"/>
      <c r="F87" s="39"/>
      <c r="G87" s="40"/>
      <c r="H87" s="38" t="s">
        <v>10</v>
      </c>
      <c r="I87" s="39"/>
      <c r="J87" s="39"/>
      <c r="K87" s="39"/>
      <c r="L87" s="40"/>
      <c r="M87" s="7" t="s">
        <v>9</v>
      </c>
      <c r="O87" s="7" t="s">
        <v>9</v>
      </c>
      <c r="P87" s="38" t="s">
        <v>10</v>
      </c>
      <c r="Q87" s="39"/>
      <c r="R87" s="39"/>
      <c r="S87" s="39"/>
      <c r="T87" s="40"/>
      <c r="U87" s="38" t="s">
        <v>10</v>
      </c>
      <c r="V87" s="39"/>
      <c r="W87" s="39"/>
      <c r="X87" s="39"/>
      <c r="Y87" s="40"/>
      <c r="Z87" s="7" t="s">
        <v>9</v>
      </c>
    </row>
    <row r="88" spans="2:26" ht="15" customHeight="1" thickBot="1" x14ac:dyDescent="0.3">
      <c r="B88" s="8" t="s">
        <v>11</v>
      </c>
      <c r="C88" s="15">
        <v>700</v>
      </c>
      <c r="D88" s="16">
        <v>900</v>
      </c>
      <c r="E88" s="16">
        <v>1220</v>
      </c>
      <c r="F88" s="16">
        <v>1500</v>
      </c>
      <c r="G88" s="17">
        <v>1820</v>
      </c>
      <c r="H88" s="15">
        <v>700</v>
      </c>
      <c r="I88" s="16">
        <v>900</v>
      </c>
      <c r="J88" s="16">
        <v>1220</v>
      </c>
      <c r="K88" s="16">
        <v>1500</v>
      </c>
      <c r="L88" s="17">
        <v>1820</v>
      </c>
      <c r="M88" s="8" t="s">
        <v>11</v>
      </c>
      <c r="O88" s="8" t="s">
        <v>11</v>
      </c>
      <c r="P88" s="15">
        <v>700</v>
      </c>
      <c r="Q88" s="16">
        <v>900</v>
      </c>
      <c r="R88" s="16">
        <v>1220</v>
      </c>
      <c r="S88" s="16">
        <v>1500</v>
      </c>
      <c r="T88" s="17">
        <v>1820</v>
      </c>
      <c r="U88" s="15">
        <v>700</v>
      </c>
      <c r="V88" s="16">
        <v>900</v>
      </c>
      <c r="W88" s="16">
        <v>1220</v>
      </c>
      <c r="X88" s="16">
        <v>1500</v>
      </c>
      <c r="Y88" s="17">
        <v>1820</v>
      </c>
      <c r="Z88" s="8" t="s">
        <v>11</v>
      </c>
    </row>
    <row r="89" spans="2:26" ht="13.5" customHeight="1" x14ac:dyDescent="0.25">
      <c r="B89" s="9">
        <v>450</v>
      </c>
      <c r="C89" s="185">
        <v>335</v>
      </c>
      <c r="D89" s="186">
        <v>432</v>
      </c>
      <c r="E89" s="186">
        <v>589</v>
      </c>
      <c r="F89" s="186">
        <v>725</v>
      </c>
      <c r="G89" s="187">
        <v>879</v>
      </c>
      <c r="H89" s="185">
        <v>335</v>
      </c>
      <c r="I89" s="186">
        <v>432</v>
      </c>
      <c r="J89" s="186">
        <v>589</v>
      </c>
      <c r="K89" s="186">
        <v>725</v>
      </c>
      <c r="L89" s="187">
        <v>879</v>
      </c>
      <c r="M89" s="9">
        <v>450</v>
      </c>
      <c r="O89" s="9">
        <v>450</v>
      </c>
      <c r="P89" s="185">
        <v>361</v>
      </c>
      <c r="Q89" s="186">
        <v>462</v>
      </c>
      <c r="R89" s="186">
        <v>625</v>
      </c>
      <c r="S89" s="186">
        <v>771</v>
      </c>
      <c r="T89" s="187">
        <v>942</v>
      </c>
      <c r="U89" s="72"/>
      <c r="V89" s="73"/>
      <c r="W89" s="73"/>
      <c r="X89" s="73"/>
      <c r="Y89" s="74"/>
      <c r="Z89" s="9">
        <v>450</v>
      </c>
    </row>
    <row r="90" spans="2:26" ht="13.5" customHeight="1" x14ac:dyDescent="0.25">
      <c r="B90" s="10">
        <v>600</v>
      </c>
      <c r="C90" s="179">
        <v>444</v>
      </c>
      <c r="D90" s="180">
        <v>574</v>
      </c>
      <c r="E90" s="180">
        <v>781</v>
      </c>
      <c r="F90" s="180">
        <v>962</v>
      </c>
      <c r="G90" s="181">
        <v>1166</v>
      </c>
      <c r="H90" s="179">
        <v>444</v>
      </c>
      <c r="I90" s="180">
        <v>574</v>
      </c>
      <c r="J90" s="180">
        <v>781</v>
      </c>
      <c r="K90" s="180">
        <v>962</v>
      </c>
      <c r="L90" s="181">
        <v>1166</v>
      </c>
      <c r="M90" s="172">
        <v>600</v>
      </c>
      <c r="O90" s="172">
        <v>600</v>
      </c>
      <c r="P90" s="179">
        <v>480</v>
      </c>
      <c r="Q90" s="180">
        <v>614</v>
      </c>
      <c r="R90" s="180">
        <v>832</v>
      </c>
      <c r="S90" s="180">
        <v>1026</v>
      </c>
      <c r="T90" s="181">
        <v>1253</v>
      </c>
      <c r="U90" s="75"/>
      <c r="V90" s="76"/>
      <c r="W90" s="76"/>
      <c r="X90" s="76"/>
      <c r="Y90" s="77"/>
      <c r="Z90" s="10">
        <v>600</v>
      </c>
    </row>
    <row r="91" spans="2:26" ht="13.5" customHeight="1" thickBot="1" x14ac:dyDescent="0.3">
      <c r="B91" s="11">
        <v>750</v>
      </c>
      <c r="C91" s="191">
        <v>553</v>
      </c>
      <c r="D91" s="192">
        <v>714</v>
      </c>
      <c r="E91" s="192">
        <v>973</v>
      </c>
      <c r="F91" s="192">
        <v>1197</v>
      </c>
      <c r="G91" s="193">
        <v>1452</v>
      </c>
      <c r="H91" s="191">
        <v>553</v>
      </c>
      <c r="I91" s="192">
        <v>714</v>
      </c>
      <c r="J91" s="192">
        <v>973</v>
      </c>
      <c r="K91" s="192">
        <v>1197</v>
      </c>
      <c r="L91" s="193">
        <v>1452</v>
      </c>
      <c r="M91" s="11">
        <v>750</v>
      </c>
      <c r="O91" s="11">
        <v>750</v>
      </c>
      <c r="P91" s="191">
        <v>599</v>
      </c>
      <c r="Q91" s="192">
        <v>767</v>
      </c>
      <c r="R91" s="192">
        <v>1038</v>
      </c>
      <c r="S91" s="192">
        <v>1280</v>
      </c>
      <c r="T91" s="193">
        <v>1564</v>
      </c>
      <c r="U91" s="78"/>
      <c r="V91" s="79"/>
      <c r="W91" s="79"/>
      <c r="X91" s="79"/>
      <c r="Y91" s="80"/>
      <c r="Z91" s="11">
        <v>750</v>
      </c>
    </row>
    <row r="92" spans="2:26" ht="13.5" customHeight="1" thickBot="1" x14ac:dyDescent="0.3">
      <c r="B92" s="177"/>
      <c r="C92" s="177"/>
      <c r="D92" s="177"/>
      <c r="E92" s="177"/>
      <c r="F92" s="177"/>
      <c r="G92" s="177"/>
      <c r="H92" s="177"/>
      <c r="I92" s="177"/>
      <c r="J92" s="177"/>
      <c r="K92" s="177"/>
      <c r="L92" s="177"/>
      <c r="M92" s="177"/>
      <c r="O92" s="177"/>
      <c r="P92" s="177"/>
      <c r="Q92" s="177"/>
      <c r="R92" s="177"/>
      <c r="S92" s="177"/>
      <c r="T92" s="177"/>
      <c r="U92" s="177"/>
      <c r="V92" s="177"/>
      <c r="W92" s="177"/>
      <c r="X92" s="177"/>
      <c r="Y92" s="177"/>
      <c r="Z92" s="177"/>
    </row>
    <row r="93" spans="2:26" ht="13.5" customHeight="1" thickBot="1" x14ac:dyDescent="0.3">
      <c r="B93" s="34"/>
      <c r="C93" s="35" t="s">
        <v>267</v>
      </c>
      <c r="D93" s="36"/>
      <c r="E93" s="36"/>
      <c r="F93" s="36"/>
      <c r="G93" s="36"/>
      <c r="H93" s="35" t="s">
        <v>269</v>
      </c>
      <c r="I93" s="36"/>
      <c r="J93" s="36"/>
      <c r="K93" s="36"/>
      <c r="L93" s="37"/>
      <c r="M93" s="34"/>
      <c r="O93" s="34"/>
      <c r="P93" s="35" t="s">
        <v>267</v>
      </c>
      <c r="Q93" s="36"/>
      <c r="R93" s="36"/>
      <c r="S93" s="36"/>
      <c r="T93" s="36"/>
      <c r="U93" s="35" t="s">
        <v>269</v>
      </c>
      <c r="V93" s="36"/>
      <c r="W93" s="36"/>
      <c r="X93" s="36"/>
      <c r="Y93" s="37"/>
      <c r="Z93" s="34"/>
    </row>
    <row r="94" spans="2:26" ht="13.5" customHeight="1" x14ac:dyDescent="0.25">
      <c r="B94" s="7" t="s">
        <v>9</v>
      </c>
      <c r="C94" s="38" t="s">
        <v>10</v>
      </c>
      <c r="D94" s="39"/>
      <c r="E94" s="39"/>
      <c r="F94" s="39"/>
      <c r="G94" s="40"/>
      <c r="H94" s="38" t="s">
        <v>10</v>
      </c>
      <c r="I94" s="39"/>
      <c r="J94" s="39"/>
      <c r="K94" s="39"/>
      <c r="L94" s="40"/>
      <c r="M94" s="7" t="s">
        <v>9</v>
      </c>
      <c r="O94" s="7" t="s">
        <v>9</v>
      </c>
      <c r="P94" s="38" t="s">
        <v>10</v>
      </c>
      <c r="Q94" s="39"/>
      <c r="R94" s="39"/>
      <c r="S94" s="39"/>
      <c r="T94" s="40"/>
      <c r="U94" s="38" t="s">
        <v>10</v>
      </c>
      <c r="V94" s="39"/>
      <c r="W94" s="39"/>
      <c r="X94" s="39"/>
      <c r="Y94" s="40"/>
      <c r="Z94" s="7" t="s">
        <v>9</v>
      </c>
    </row>
    <row r="95" spans="2:26" ht="13.5" customHeight="1" thickBot="1" x14ac:dyDescent="0.3">
      <c r="B95" s="8" t="s">
        <v>11</v>
      </c>
      <c r="C95" s="15">
        <v>700</v>
      </c>
      <c r="D95" s="16">
        <v>900</v>
      </c>
      <c r="E95" s="16">
        <v>1220</v>
      </c>
      <c r="F95" s="16">
        <v>1500</v>
      </c>
      <c r="G95" s="17">
        <v>1820</v>
      </c>
      <c r="H95" s="15">
        <v>700</v>
      </c>
      <c r="I95" s="16">
        <v>900</v>
      </c>
      <c r="J95" s="16">
        <v>1220</v>
      </c>
      <c r="K95" s="16">
        <v>1500</v>
      </c>
      <c r="L95" s="17">
        <v>1820</v>
      </c>
      <c r="M95" s="8" t="s">
        <v>11</v>
      </c>
      <c r="O95" s="8" t="s">
        <v>11</v>
      </c>
      <c r="P95" s="15">
        <v>700</v>
      </c>
      <c r="Q95" s="16">
        <v>900</v>
      </c>
      <c r="R95" s="16">
        <v>1220</v>
      </c>
      <c r="S95" s="16">
        <v>1500</v>
      </c>
      <c r="T95" s="17">
        <v>1820</v>
      </c>
      <c r="U95" s="15">
        <v>700</v>
      </c>
      <c r="V95" s="16">
        <v>900</v>
      </c>
      <c r="W95" s="16">
        <v>1220</v>
      </c>
      <c r="X95" s="16">
        <v>1500</v>
      </c>
      <c r="Y95" s="17">
        <v>1820</v>
      </c>
      <c r="Z95" s="8" t="s">
        <v>11</v>
      </c>
    </row>
    <row r="96" spans="2:26" ht="13.5" customHeight="1" x14ac:dyDescent="0.25">
      <c r="B96" s="9">
        <v>450</v>
      </c>
      <c r="C96" s="182">
        <v>1.2322</v>
      </c>
      <c r="D96" s="183">
        <v>1.2336</v>
      </c>
      <c r="E96" s="183">
        <v>1.2357</v>
      </c>
      <c r="F96" s="183">
        <v>1.2376</v>
      </c>
      <c r="G96" s="184">
        <v>1.2398</v>
      </c>
      <c r="H96" s="182">
        <v>1.2322</v>
      </c>
      <c r="I96" s="183">
        <v>1.2336</v>
      </c>
      <c r="J96" s="183">
        <v>1.2357</v>
      </c>
      <c r="K96" s="183">
        <v>1.2376</v>
      </c>
      <c r="L96" s="184">
        <v>1.2398</v>
      </c>
      <c r="M96" s="9">
        <v>450</v>
      </c>
      <c r="O96" s="9">
        <v>450</v>
      </c>
      <c r="P96" s="182">
        <v>1.266</v>
      </c>
      <c r="Q96" s="183">
        <v>1.2674000000000001</v>
      </c>
      <c r="R96" s="183">
        <v>1.2697000000000001</v>
      </c>
      <c r="S96" s="183">
        <v>1.2717000000000001</v>
      </c>
      <c r="T96" s="184">
        <v>1.274</v>
      </c>
      <c r="U96" s="72"/>
      <c r="V96" s="73"/>
      <c r="W96" s="73"/>
      <c r="X96" s="73"/>
      <c r="Y96" s="74"/>
      <c r="Z96" s="9">
        <v>450</v>
      </c>
    </row>
    <row r="97" spans="2:26" ht="13.5" customHeight="1" x14ac:dyDescent="0.25">
      <c r="B97" s="10">
        <v>600</v>
      </c>
      <c r="C97" s="182">
        <v>1.2279</v>
      </c>
      <c r="D97" s="183">
        <v>1.2343</v>
      </c>
      <c r="E97" s="183">
        <v>1.2445999999999999</v>
      </c>
      <c r="F97" s="183">
        <v>1.2383999999999999</v>
      </c>
      <c r="G97" s="184">
        <v>1.2314000000000001</v>
      </c>
      <c r="H97" s="182">
        <v>1.2279</v>
      </c>
      <c r="I97" s="183">
        <v>1.2343</v>
      </c>
      <c r="J97" s="183">
        <v>1.2445999999999999</v>
      </c>
      <c r="K97" s="183">
        <v>1.2383999999999999</v>
      </c>
      <c r="L97" s="184">
        <v>1.2314000000000001</v>
      </c>
      <c r="M97" s="10">
        <v>600</v>
      </c>
      <c r="O97" s="10">
        <v>600</v>
      </c>
      <c r="P97" s="182">
        <v>1.2554000000000001</v>
      </c>
      <c r="Q97" s="183">
        <v>1.2567999999999999</v>
      </c>
      <c r="R97" s="183">
        <v>1.2591000000000001</v>
      </c>
      <c r="S97" s="183">
        <v>1.2611000000000001</v>
      </c>
      <c r="T97" s="184">
        <v>1.2634000000000001</v>
      </c>
      <c r="U97" s="75"/>
      <c r="V97" s="76"/>
      <c r="W97" s="76"/>
      <c r="X97" s="76"/>
      <c r="Y97" s="77"/>
      <c r="Z97" s="10">
        <v>600</v>
      </c>
    </row>
    <row r="98" spans="2:26" ht="13.5" customHeight="1" thickBot="1" x14ac:dyDescent="0.3">
      <c r="B98" s="11">
        <v>750</v>
      </c>
      <c r="C98" s="188">
        <v>1.2235</v>
      </c>
      <c r="D98" s="189">
        <v>1.2350000000000001</v>
      </c>
      <c r="E98" s="189">
        <v>1.2534000000000001</v>
      </c>
      <c r="F98" s="189">
        <v>1.2392000000000001</v>
      </c>
      <c r="G98" s="190">
        <v>1.2229000000000001</v>
      </c>
      <c r="H98" s="188">
        <v>1.2235</v>
      </c>
      <c r="I98" s="189">
        <v>1.2350000000000001</v>
      </c>
      <c r="J98" s="189">
        <v>1.2534000000000001</v>
      </c>
      <c r="K98" s="189">
        <v>1.2392000000000001</v>
      </c>
      <c r="L98" s="190">
        <v>1.2229000000000001</v>
      </c>
      <c r="M98" s="11">
        <v>750</v>
      </c>
      <c r="O98" s="11">
        <v>750</v>
      </c>
      <c r="P98" s="188">
        <v>1.2447999999999999</v>
      </c>
      <c r="Q98" s="189">
        <v>1.2462</v>
      </c>
      <c r="R98" s="189">
        <v>1.2484999999999999</v>
      </c>
      <c r="S98" s="189">
        <v>1.2504999999999999</v>
      </c>
      <c r="T98" s="190">
        <v>1.2527999999999999</v>
      </c>
      <c r="U98" s="78"/>
      <c r="V98" s="79"/>
      <c r="W98" s="79"/>
      <c r="X98" s="79"/>
      <c r="Y98" s="80"/>
      <c r="Z98" s="11">
        <v>750</v>
      </c>
    </row>
    <row r="99" spans="2:26" ht="13.5" customHeight="1" thickBot="1" x14ac:dyDescent="0.3">
      <c r="B99" s="177"/>
      <c r="C99" s="177"/>
      <c r="D99" s="177"/>
      <c r="E99" s="177"/>
      <c r="F99" s="177"/>
      <c r="G99" s="177"/>
      <c r="H99" s="177"/>
      <c r="I99" s="177"/>
      <c r="J99" s="177"/>
      <c r="K99" s="177"/>
      <c r="L99" s="177"/>
      <c r="M99" s="177"/>
      <c r="O99" s="177"/>
      <c r="P99" s="177"/>
      <c r="Q99" s="177"/>
      <c r="R99" s="177"/>
      <c r="S99" s="177"/>
      <c r="T99" s="177"/>
      <c r="U99" s="177"/>
      <c r="V99" s="177"/>
      <c r="W99" s="177"/>
      <c r="X99" s="177"/>
      <c r="Y99" s="177"/>
      <c r="Z99" s="177"/>
    </row>
    <row r="100" spans="2:26" ht="15" customHeight="1" thickBot="1" x14ac:dyDescent="0.3">
      <c r="B100" s="34"/>
      <c r="C100" s="35" t="s">
        <v>18</v>
      </c>
      <c r="D100" s="36"/>
      <c r="E100" s="36"/>
      <c r="F100" s="36"/>
      <c r="G100" s="36"/>
      <c r="H100" s="35" t="s">
        <v>19</v>
      </c>
      <c r="I100" s="36"/>
      <c r="J100" s="36"/>
      <c r="K100" s="36"/>
      <c r="L100" s="37"/>
      <c r="M100" s="34"/>
      <c r="O100" s="34"/>
      <c r="P100" s="35" t="s">
        <v>18</v>
      </c>
      <c r="Q100" s="36"/>
      <c r="R100" s="36"/>
      <c r="S100" s="36"/>
      <c r="T100" s="36"/>
      <c r="U100" s="35" t="s">
        <v>19</v>
      </c>
      <c r="V100" s="36"/>
      <c r="W100" s="36"/>
      <c r="X100" s="36"/>
      <c r="Y100" s="37"/>
      <c r="Z100" s="34"/>
    </row>
    <row r="101" spans="2:26" ht="15" customHeight="1" x14ac:dyDescent="0.25">
      <c r="B101" s="7" t="s">
        <v>9</v>
      </c>
      <c r="C101" s="38" t="s">
        <v>10</v>
      </c>
      <c r="D101" s="39"/>
      <c r="E101" s="39"/>
      <c r="F101" s="39"/>
      <c r="G101" s="40"/>
      <c r="H101" s="38" t="s">
        <v>10</v>
      </c>
      <c r="I101" s="39"/>
      <c r="J101" s="39"/>
      <c r="K101" s="39"/>
      <c r="L101" s="40"/>
      <c r="M101" s="7" t="s">
        <v>9</v>
      </c>
      <c r="O101" s="7" t="s">
        <v>9</v>
      </c>
      <c r="P101" s="38" t="s">
        <v>10</v>
      </c>
      <c r="Q101" s="39"/>
      <c r="R101" s="39"/>
      <c r="S101" s="39"/>
      <c r="T101" s="40"/>
      <c r="U101" s="38" t="s">
        <v>10</v>
      </c>
      <c r="V101" s="39"/>
      <c r="W101" s="39"/>
      <c r="X101" s="39"/>
      <c r="Y101" s="40"/>
      <c r="Z101" s="7" t="s">
        <v>9</v>
      </c>
    </row>
    <row r="102" spans="2:26" ht="15" customHeight="1" thickBot="1" x14ac:dyDescent="0.3">
      <c r="B102" s="8" t="s">
        <v>11</v>
      </c>
      <c r="C102" s="15">
        <v>700</v>
      </c>
      <c r="D102" s="16">
        <v>900</v>
      </c>
      <c r="E102" s="16">
        <v>1220</v>
      </c>
      <c r="F102" s="16">
        <v>1500</v>
      </c>
      <c r="G102" s="17">
        <v>1820</v>
      </c>
      <c r="H102" s="15">
        <v>700</v>
      </c>
      <c r="I102" s="16">
        <v>900</v>
      </c>
      <c r="J102" s="16">
        <v>1220</v>
      </c>
      <c r="K102" s="16">
        <v>1500</v>
      </c>
      <c r="L102" s="17">
        <v>1820</v>
      </c>
      <c r="M102" s="8" t="s">
        <v>11</v>
      </c>
      <c r="O102" s="8" t="s">
        <v>11</v>
      </c>
      <c r="P102" s="15">
        <v>700</v>
      </c>
      <c r="Q102" s="16">
        <v>900</v>
      </c>
      <c r="R102" s="16">
        <v>1220</v>
      </c>
      <c r="S102" s="16">
        <v>1500</v>
      </c>
      <c r="T102" s="17">
        <v>1820</v>
      </c>
      <c r="U102" s="15">
        <v>700</v>
      </c>
      <c r="V102" s="16">
        <v>900</v>
      </c>
      <c r="W102" s="16">
        <v>1220</v>
      </c>
      <c r="X102" s="16">
        <v>1500</v>
      </c>
      <c r="Y102" s="17">
        <v>1820</v>
      </c>
      <c r="Z102" s="8" t="s">
        <v>11</v>
      </c>
    </row>
    <row r="103" spans="2:26" ht="13.5" customHeight="1" x14ac:dyDescent="0.25">
      <c r="B103" s="9">
        <v>450</v>
      </c>
      <c r="C103" s="185">
        <v>287</v>
      </c>
      <c r="D103" s="186">
        <v>369</v>
      </c>
      <c r="E103" s="186">
        <v>504</v>
      </c>
      <c r="F103" s="186">
        <v>626</v>
      </c>
      <c r="G103" s="187">
        <v>772</v>
      </c>
      <c r="H103" s="185">
        <v>287</v>
      </c>
      <c r="I103" s="186">
        <v>369</v>
      </c>
      <c r="J103" s="186">
        <v>504</v>
      </c>
      <c r="K103" s="186">
        <v>626</v>
      </c>
      <c r="L103" s="187">
        <v>772</v>
      </c>
      <c r="M103" s="9">
        <v>450</v>
      </c>
      <c r="O103" s="9">
        <v>450</v>
      </c>
      <c r="P103" s="185">
        <v>312</v>
      </c>
      <c r="Q103" s="186">
        <v>402</v>
      </c>
      <c r="R103" s="186">
        <v>549</v>
      </c>
      <c r="S103" s="186">
        <v>682</v>
      </c>
      <c r="T103" s="187">
        <v>841</v>
      </c>
      <c r="U103" s="72"/>
      <c r="V103" s="73"/>
      <c r="W103" s="73"/>
      <c r="X103" s="73"/>
      <c r="Y103" s="74"/>
      <c r="Z103" s="9">
        <v>450</v>
      </c>
    </row>
    <row r="104" spans="2:26" ht="13.5" customHeight="1" x14ac:dyDescent="0.25">
      <c r="B104" s="168">
        <v>500</v>
      </c>
      <c r="C104" s="179">
        <v>315</v>
      </c>
      <c r="D104" s="180">
        <v>405</v>
      </c>
      <c r="E104" s="180">
        <v>553</v>
      </c>
      <c r="F104" s="180">
        <v>687</v>
      </c>
      <c r="G104" s="181">
        <v>848</v>
      </c>
      <c r="H104" s="179">
        <v>315</v>
      </c>
      <c r="I104" s="180">
        <v>405</v>
      </c>
      <c r="J104" s="180">
        <v>553</v>
      </c>
      <c r="K104" s="180">
        <v>687</v>
      </c>
      <c r="L104" s="181">
        <v>848</v>
      </c>
      <c r="M104" s="168">
        <v>500</v>
      </c>
      <c r="O104" s="168">
        <v>500</v>
      </c>
      <c r="P104" s="179">
        <v>342</v>
      </c>
      <c r="Q104" s="180">
        <v>440</v>
      </c>
      <c r="R104" s="180">
        <v>601</v>
      </c>
      <c r="S104" s="180">
        <v>747</v>
      </c>
      <c r="T104" s="181">
        <v>921</v>
      </c>
      <c r="U104" s="169"/>
      <c r="V104" s="170"/>
      <c r="W104" s="170"/>
      <c r="X104" s="170"/>
      <c r="Y104" s="171"/>
      <c r="Z104" s="168">
        <v>500</v>
      </c>
    </row>
    <row r="105" spans="2:26" ht="13.5" customHeight="1" x14ac:dyDescent="0.25">
      <c r="B105" s="10">
        <v>600</v>
      </c>
      <c r="C105" s="179">
        <v>370</v>
      </c>
      <c r="D105" s="180">
        <v>475</v>
      </c>
      <c r="E105" s="180">
        <v>650</v>
      </c>
      <c r="F105" s="180">
        <v>808</v>
      </c>
      <c r="G105" s="181">
        <v>996</v>
      </c>
      <c r="H105" s="179">
        <v>370</v>
      </c>
      <c r="I105" s="180">
        <v>475</v>
      </c>
      <c r="J105" s="180">
        <v>650</v>
      </c>
      <c r="K105" s="180">
        <v>808</v>
      </c>
      <c r="L105" s="181">
        <v>996</v>
      </c>
      <c r="M105" s="10">
        <v>600</v>
      </c>
      <c r="O105" s="10">
        <v>600</v>
      </c>
      <c r="P105" s="179">
        <v>400</v>
      </c>
      <c r="Q105" s="180">
        <v>515</v>
      </c>
      <c r="R105" s="180">
        <v>703</v>
      </c>
      <c r="S105" s="180">
        <v>874</v>
      </c>
      <c r="T105" s="181">
        <v>1078</v>
      </c>
      <c r="U105" s="75"/>
      <c r="V105" s="76"/>
      <c r="W105" s="76"/>
      <c r="X105" s="76"/>
      <c r="Y105" s="77"/>
      <c r="Z105" s="10">
        <v>600</v>
      </c>
    </row>
    <row r="106" spans="2:26" ht="13.5" customHeight="1" thickBot="1" x14ac:dyDescent="0.3">
      <c r="B106" s="11">
        <v>750</v>
      </c>
      <c r="C106" s="191">
        <v>450</v>
      </c>
      <c r="D106" s="192">
        <v>579</v>
      </c>
      <c r="E106" s="192">
        <v>791</v>
      </c>
      <c r="F106" s="192">
        <v>984</v>
      </c>
      <c r="G106" s="193">
        <v>1213</v>
      </c>
      <c r="H106" s="191">
        <v>450</v>
      </c>
      <c r="I106" s="192">
        <v>579</v>
      </c>
      <c r="J106" s="192">
        <v>791</v>
      </c>
      <c r="K106" s="192">
        <v>984</v>
      </c>
      <c r="L106" s="193">
        <v>1213</v>
      </c>
      <c r="M106" s="11">
        <v>750</v>
      </c>
      <c r="O106" s="11">
        <v>750</v>
      </c>
      <c r="P106" s="191">
        <v>485</v>
      </c>
      <c r="Q106" s="192">
        <v>624</v>
      </c>
      <c r="R106" s="192">
        <v>852</v>
      </c>
      <c r="S106" s="192">
        <v>1060</v>
      </c>
      <c r="T106" s="193">
        <v>1307</v>
      </c>
      <c r="U106" s="78"/>
      <c r="V106" s="79"/>
      <c r="W106" s="79"/>
      <c r="X106" s="79"/>
      <c r="Y106" s="80"/>
      <c r="Z106" s="11">
        <v>750</v>
      </c>
    </row>
    <row r="107" spans="2:26" ht="13.5" customHeight="1" thickBot="1" x14ac:dyDescent="0.3">
      <c r="B107" s="177"/>
      <c r="C107" s="177"/>
      <c r="D107" s="177"/>
      <c r="E107" s="177"/>
      <c r="F107" s="177"/>
      <c r="G107" s="177"/>
      <c r="H107" s="177"/>
      <c r="I107" s="177"/>
      <c r="J107" s="177"/>
      <c r="K107" s="177"/>
      <c r="L107" s="177"/>
      <c r="M107" s="177"/>
      <c r="O107" s="177"/>
      <c r="P107" s="177"/>
      <c r="Q107" s="177"/>
      <c r="R107" s="177"/>
      <c r="S107" s="177"/>
      <c r="T107" s="177"/>
      <c r="U107" s="177"/>
      <c r="V107" s="177"/>
      <c r="W107" s="177"/>
      <c r="X107" s="177"/>
      <c r="Y107" s="177"/>
      <c r="Z107" s="177"/>
    </row>
    <row r="108" spans="2:26" ht="13.5" customHeight="1" thickBot="1" x14ac:dyDescent="0.3">
      <c r="B108" s="34"/>
      <c r="C108" s="35" t="s">
        <v>18</v>
      </c>
      <c r="D108" s="36"/>
      <c r="E108" s="36"/>
      <c r="F108" s="36"/>
      <c r="G108" s="36"/>
      <c r="H108" s="35" t="s">
        <v>19</v>
      </c>
      <c r="I108" s="36"/>
      <c r="J108" s="36"/>
      <c r="K108" s="36"/>
      <c r="L108" s="37"/>
      <c r="M108" s="34"/>
      <c r="O108" s="34"/>
      <c r="P108" s="35" t="s">
        <v>18</v>
      </c>
      <c r="Q108" s="36"/>
      <c r="R108" s="36"/>
      <c r="S108" s="36"/>
      <c r="T108" s="36"/>
      <c r="U108" s="35" t="s">
        <v>19</v>
      </c>
      <c r="V108" s="36"/>
      <c r="W108" s="36"/>
      <c r="X108" s="36"/>
      <c r="Y108" s="37"/>
      <c r="Z108" s="34"/>
    </row>
    <row r="109" spans="2:26" ht="13.5" customHeight="1" x14ac:dyDescent="0.25">
      <c r="B109" s="7" t="s">
        <v>9</v>
      </c>
      <c r="C109" s="38" t="s">
        <v>10</v>
      </c>
      <c r="D109" s="39"/>
      <c r="E109" s="39"/>
      <c r="F109" s="39"/>
      <c r="G109" s="40"/>
      <c r="H109" s="38" t="s">
        <v>10</v>
      </c>
      <c r="I109" s="39"/>
      <c r="J109" s="39"/>
      <c r="K109" s="39"/>
      <c r="L109" s="40"/>
      <c r="M109" s="7" t="s">
        <v>9</v>
      </c>
      <c r="O109" s="7" t="s">
        <v>9</v>
      </c>
      <c r="P109" s="38" t="s">
        <v>10</v>
      </c>
      <c r="Q109" s="39"/>
      <c r="R109" s="39"/>
      <c r="S109" s="39"/>
      <c r="T109" s="40"/>
      <c r="U109" s="38" t="s">
        <v>10</v>
      </c>
      <c r="V109" s="39"/>
      <c r="W109" s="39"/>
      <c r="X109" s="39"/>
      <c r="Y109" s="40"/>
      <c r="Z109" s="7" t="s">
        <v>9</v>
      </c>
    </row>
    <row r="110" spans="2:26" ht="13.5" customHeight="1" thickBot="1" x14ac:dyDescent="0.3">
      <c r="B110" s="8" t="s">
        <v>11</v>
      </c>
      <c r="C110" s="15">
        <v>700</v>
      </c>
      <c r="D110" s="16">
        <v>900</v>
      </c>
      <c r="E110" s="16">
        <v>1220</v>
      </c>
      <c r="F110" s="16">
        <v>1500</v>
      </c>
      <c r="G110" s="17">
        <v>1820</v>
      </c>
      <c r="H110" s="15">
        <v>700</v>
      </c>
      <c r="I110" s="16">
        <v>900</v>
      </c>
      <c r="J110" s="16">
        <v>1220</v>
      </c>
      <c r="K110" s="16">
        <v>1500</v>
      </c>
      <c r="L110" s="17">
        <v>1820</v>
      </c>
      <c r="M110" s="8" t="s">
        <v>11</v>
      </c>
      <c r="O110" s="8" t="s">
        <v>11</v>
      </c>
      <c r="P110" s="15">
        <v>700</v>
      </c>
      <c r="Q110" s="16">
        <v>900</v>
      </c>
      <c r="R110" s="16">
        <v>1220</v>
      </c>
      <c r="S110" s="16">
        <v>1500</v>
      </c>
      <c r="T110" s="17">
        <v>1820</v>
      </c>
      <c r="U110" s="15">
        <v>700</v>
      </c>
      <c r="V110" s="16">
        <v>900</v>
      </c>
      <c r="W110" s="16">
        <v>1220</v>
      </c>
      <c r="X110" s="16">
        <v>1500</v>
      </c>
      <c r="Y110" s="17">
        <v>1820</v>
      </c>
      <c r="Z110" s="8" t="s">
        <v>11</v>
      </c>
    </row>
    <row r="111" spans="2:26" ht="13.5" customHeight="1" x14ac:dyDescent="0.25">
      <c r="B111" s="9">
        <v>450</v>
      </c>
      <c r="C111" s="182">
        <v>1.2452000000000001</v>
      </c>
      <c r="D111" s="183">
        <v>1.2488999999999999</v>
      </c>
      <c r="E111" s="183">
        <v>1.2548999999999999</v>
      </c>
      <c r="F111" s="183">
        <v>1.2588999999999999</v>
      </c>
      <c r="G111" s="184">
        <v>1.2634000000000001</v>
      </c>
      <c r="H111" s="182">
        <v>1.2452000000000001</v>
      </c>
      <c r="I111" s="183">
        <v>1.2488999999999999</v>
      </c>
      <c r="J111" s="183">
        <v>1.2548999999999999</v>
      </c>
      <c r="K111" s="183">
        <v>1.2588999999999999</v>
      </c>
      <c r="L111" s="184">
        <v>1.2634000000000001</v>
      </c>
      <c r="M111" s="9">
        <v>450</v>
      </c>
      <c r="O111" s="9">
        <v>450</v>
      </c>
      <c r="P111" s="182">
        <v>1.2638</v>
      </c>
      <c r="Q111" s="183">
        <v>1.2699</v>
      </c>
      <c r="R111" s="183">
        <v>1.2797000000000001</v>
      </c>
      <c r="S111" s="183">
        <v>1.2883</v>
      </c>
      <c r="T111" s="184">
        <v>1.2981</v>
      </c>
      <c r="U111" s="72"/>
      <c r="V111" s="73"/>
      <c r="W111" s="73"/>
      <c r="X111" s="73"/>
      <c r="Y111" s="74"/>
      <c r="Z111" s="9">
        <v>450</v>
      </c>
    </row>
    <row r="112" spans="2:26" ht="13.5" customHeight="1" x14ac:dyDescent="0.25">
      <c r="B112" s="168">
        <v>500</v>
      </c>
      <c r="C112" s="182">
        <v>1.2421</v>
      </c>
      <c r="D112" s="183">
        <v>1.2463</v>
      </c>
      <c r="E112" s="183">
        <v>1.2532000000000001</v>
      </c>
      <c r="F112" s="183">
        <v>1.2573000000000001</v>
      </c>
      <c r="G112" s="184">
        <v>1.2621</v>
      </c>
      <c r="H112" s="182">
        <v>1.2421</v>
      </c>
      <c r="I112" s="183">
        <v>1.2463</v>
      </c>
      <c r="J112" s="183">
        <v>1.2532000000000001</v>
      </c>
      <c r="K112" s="183">
        <v>1.2573000000000001</v>
      </c>
      <c r="L112" s="184">
        <v>1.2621</v>
      </c>
      <c r="M112" s="168">
        <v>500</v>
      </c>
      <c r="O112" s="168">
        <v>500</v>
      </c>
      <c r="P112" s="182">
        <v>1.2543</v>
      </c>
      <c r="Q112" s="183">
        <v>1.2621</v>
      </c>
      <c r="R112" s="183">
        <v>1.2744</v>
      </c>
      <c r="S112" s="183">
        <v>1.2853000000000001</v>
      </c>
      <c r="T112" s="184">
        <v>1.2976000000000001</v>
      </c>
      <c r="U112" s="169"/>
      <c r="V112" s="170"/>
      <c r="W112" s="170"/>
      <c r="X112" s="170"/>
      <c r="Y112" s="171"/>
      <c r="Z112" s="168">
        <v>500</v>
      </c>
    </row>
    <row r="113" spans="2:26" ht="13.5" customHeight="1" x14ac:dyDescent="0.25">
      <c r="B113" s="10">
        <v>600</v>
      </c>
      <c r="C113" s="182">
        <v>1.2358</v>
      </c>
      <c r="D113" s="183">
        <v>1.2412000000000001</v>
      </c>
      <c r="E113" s="183">
        <v>1.2499</v>
      </c>
      <c r="F113" s="183">
        <v>1.2543</v>
      </c>
      <c r="G113" s="184">
        <v>1.2594000000000001</v>
      </c>
      <c r="H113" s="182">
        <v>1.2358</v>
      </c>
      <c r="I113" s="183">
        <v>1.2412000000000001</v>
      </c>
      <c r="J113" s="183">
        <v>1.2499</v>
      </c>
      <c r="K113" s="183">
        <v>1.2543</v>
      </c>
      <c r="L113" s="184">
        <v>1.2594000000000001</v>
      </c>
      <c r="M113" s="10">
        <v>600</v>
      </c>
      <c r="O113" s="10">
        <v>600</v>
      </c>
      <c r="P113" s="182">
        <v>1.2354000000000001</v>
      </c>
      <c r="Q113" s="183">
        <v>1.2463</v>
      </c>
      <c r="R113" s="183">
        <v>1.2638</v>
      </c>
      <c r="S113" s="183">
        <v>1.2791999999999999</v>
      </c>
      <c r="T113" s="184">
        <v>1.2967</v>
      </c>
      <c r="U113" s="75"/>
      <c r="V113" s="76"/>
      <c r="W113" s="76"/>
      <c r="X113" s="76"/>
      <c r="Y113" s="77"/>
      <c r="Z113" s="10">
        <v>600</v>
      </c>
    </row>
    <row r="114" spans="2:26" ht="13.5" customHeight="1" thickBot="1" x14ac:dyDescent="0.3">
      <c r="B114" s="11">
        <v>750</v>
      </c>
      <c r="C114" s="188">
        <v>1.2262999999999999</v>
      </c>
      <c r="D114" s="189">
        <v>1.2334000000000001</v>
      </c>
      <c r="E114" s="189">
        <v>1.2447999999999999</v>
      </c>
      <c r="F114" s="189">
        <v>1.2497</v>
      </c>
      <c r="G114" s="190">
        <v>1.2553000000000001</v>
      </c>
      <c r="H114" s="188">
        <v>1.2262999999999999</v>
      </c>
      <c r="I114" s="189">
        <v>1.2334000000000001</v>
      </c>
      <c r="J114" s="189">
        <v>1.2447999999999999</v>
      </c>
      <c r="K114" s="189">
        <v>1.2497</v>
      </c>
      <c r="L114" s="190">
        <v>1.2553000000000001</v>
      </c>
      <c r="M114" s="11">
        <v>750</v>
      </c>
      <c r="O114" s="11">
        <v>750</v>
      </c>
      <c r="P114" s="188">
        <v>1.2069000000000001</v>
      </c>
      <c r="Q114" s="189">
        <v>1.2226999999999999</v>
      </c>
      <c r="R114" s="189">
        <v>1.2479</v>
      </c>
      <c r="S114" s="189">
        <v>1.27</v>
      </c>
      <c r="T114" s="190">
        <v>1.2952999999999999</v>
      </c>
      <c r="U114" s="78"/>
      <c r="V114" s="79"/>
      <c r="W114" s="79"/>
      <c r="X114" s="79"/>
      <c r="Y114" s="80"/>
      <c r="Z114" s="11">
        <v>750</v>
      </c>
    </row>
    <row r="115" spans="2:26" ht="15.75" thickBot="1" x14ac:dyDescent="0.3"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</row>
    <row r="116" spans="2:26" ht="15" customHeight="1" thickBot="1" x14ac:dyDescent="0.3">
      <c r="B116" s="34"/>
      <c r="C116" s="35" t="s">
        <v>14</v>
      </c>
      <c r="D116" s="36"/>
      <c r="E116" s="36"/>
      <c r="F116" s="36"/>
      <c r="G116" s="36"/>
      <c r="H116" s="35" t="s">
        <v>15</v>
      </c>
      <c r="I116" s="36"/>
      <c r="J116" s="36"/>
      <c r="K116" s="36"/>
      <c r="L116" s="37"/>
      <c r="M116" s="34"/>
      <c r="O116" s="34"/>
      <c r="P116" s="35" t="s">
        <v>14</v>
      </c>
      <c r="Q116" s="36"/>
      <c r="R116" s="36"/>
      <c r="S116" s="36"/>
      <c r="T116" s="36"/>
      <c r="U116" s="35" t="s">
        <v>15</v>
      </c>
      <c r="V116" s="36"/>
      <c r="W116" s="36"/>
      <c r="X116" s="36"/>
      <c r="Y116" s="37"/>
      <c r="Z116" s="34"/>
    </row>
    <row r="117" spans="2:26" ht="15" customHeight="1" x14ac:dyDescent="0.25">
      <c r="B117" s="7" t="s">
        <v>9</v>
      </c>
      <c r="C117" s="38" t="s">
        <v>10</v>
      </c>
      <c r="D117" s="39"/>
      <c r="E117" s="39"/>
      <c r="F117" s="39"/>
      <c r="G117" s="40"/>
      <c r="H117" s="38" t="s">
        <v>10</v>
      </c>
      <c r="I117" s="39"/>
      <c r="J117" s="39"/>
      <c r="K117" s="39"/>
      <c r="L117" s="40"/>
      <c r="M117" s="7" t="s">
        <v>9</v>
      </c>
      <c r="O117" s="7" t="s">
        <v>9</v>
      </c>
      <c r="P117" s="38" t="s">
        <v>10</v>
      </c>
      <c r="Q117" s="39"/>
      <c r="R117" s="39"/>
      <c r="S117" s="39"/>
      <c r="T117" s="40"/>
      <c r="U117" s="38" t="s">
        <v>10</v>
      </c>
      <c r="V117" s="39"/>
      <c r="W117" s="39"/>
      <c r="X117" s="39"/>
      <c r="Y117" s="40"/>
      <c r="Z117" s="7" t="s">
        <v>9</v>
      </c>
    </row>
    <row r="118" spans="2:26" ht="15" customHeight="1" thickBot="1" x14ac:dyDescent="0.3">
      <c r="B118" s="8" t="s">
        <v>11</v>
      </c>
      <c r="C118" s="15">
        <v>700</v>
      </c>
      <c r="D118" s="16">
        <v>900</v>
      </c>
      <c r="E118" s="16">
        <v>1220</v>
      </c>
      <c r="F118" s="16">
        <v>1500</v>
      </c>
      <c r="G118" s="17">
        <v>1820</v>
      </c>
      <c r="H118" s="15">
        <v>700</v>
      </c>
      <c r="I118" s="16">
        <v>900</v>
      </c>
      <c r="J118" s="16">
        <v>1220</v>
      </c>
      <c r="K118" s="16">
        <v>1500</v>
      </c>
      <c r="L118" s="17">
        <v>1820</v>
      </c>
      <c r="M118" s="8" t="s">
        <v>11</v>
      </c>
      <c r="O118" s="8" t="s">
        <v>11</v>
      </c>
      <c r="P118" s="15">
        <v>700</v>
      </c>
      <c r="Q118" s="16">
        <v>900</v>
      </c>
      <c r="R118" s="16">
        <v>1220</v>
      </c>
      <c r="S118" s="16">
        <v>1500</v>
      </c>
      <c r="T118" s="17">
        <v>1820</v>
      </c>
      <c r="U118" s="15">
        <v>700</v>
      </c>
      <c r="V118" s="16">
        <v>900</v>
      </c>
      <c r="W118" s="16">
        <v>1220</v>
      </c>
      <c r="X118" s="16">
        <v>1500</v>
      </c>
      <c r="Y118" s="17">
        <v>1820</v>
      </c>
      <c r="Z118" s="8" t="s">
        <v>11</v>
      </c>
    </row>
    <row r="119" spans="2:26" ht="13.5" customHeight="1" x14ac:dyDescent="0.25">
      <c r="B119" s="9">
        <v>450</v>
      </c>
      <c r="C119" s="185">
        <f>IF(logic!$D$98=1,C180,C216)</f>
        <v>255</v>
      </c>
      <c r="D119" s="186">
        <f>IF(logic!$D$98=1,D180,D216)</f>
        <v>333</v>
      </c>
      <c r="E119" s="186">
        <f>IF(logic!$D$98=1,E180,E216)</f>
        <v>462</v>
      </c>
      <c r="F119" s="186">
        <f>IF(logic!$D$98=1,F180,F216)</f>
        <v>581</v>
      </c>
      <c r="G119" s="187">
        <f>IF(logic!$D$98=1,G180,G216)</f>
        <v>725</v>
      </c>
      <c r="H119" s="185">
        <f>IF(logic!$D$98=1,H180,H216)</f>
        <v>255</v>
      </c>
      <c r="I119" s="186">
        <f>IF(logic!$D$98=1,I180,I216)</f>
        <v>333</v>
      </c>
      <c r="J119" s="186">
        <f>IF(logic!$D$98=1,J180,J216)</f>
        <v>462</v>
      </c>
      <c r="K119" s="186">
        <f>IF(logic!$D$98=1,K180,K216)</f>
        <v>581</v>
      </c>
      <c r="L119" s="187">
        <f>IF(logic!$D$98=1,L180,L216)</f>
        <v>725</v>
      </c>
      <c r="M119" s="9">
        <v>450</v>
      </c>
      <c r="O119" s="9">
        <v>450</v>
      </c>
      <c r="P119" s="185">
        <v>291</v>
      </c>
      <c r="Q119" s="186">
        <v>378</v>
      </c>
      <c r="R119" s="186">
        <v>519</v>
      </c>
      <c r="S119" s="186">
        <v>643</v>
      </c>
      <c r="T119" s="187">
        <v>786</v>
      </c>
      <c r="U119" s="72"/>
      <c r="V119" s="73"/>
      <c r="W119" s="73"/>
      <c r="X119" s="73"/>
      <c r="Y119" s="74"/>
      <c r="Z119" s="9">
        <v>450</v>
      </c>
    </row>
    <row r="120" spans="2:26" ht="13.5" customHeight="1" x14ac:dyDescent="0.25">
      <c r="B120" s="168">
        <v>500</v>
      </c>
      <c r="C120" s="179">
        <f>IF(logic!$D$98=1,C181,C217)</f>
        <v>280</v>
      </c>
      <c r="D120" s="180">
        <f>IF(logic!$D$98=1,D181,D217)</f>
        <v>365</v>
      </c>
      <c r="E120" s="180">
        <f>IF(logic!$D$98=1,E181,E217)</f>
        <v>507</v>
      </c>
      <c r="F120" s="180">
        <f>IF(logic!$D$98=1,F181,F217)</f>
        <v>638</v>
      </c>
      <c r="G120" s="181">
        <f>IF(logic!$D$98=1,G181,G217)</f>
        <v>795</v>
      </c>
      <c r="H120" s="179">
        <f>IF(logic!$D$98=1,H181,H217)</f>
        <v>280</v>
      </c>
      <c r="I120" s="180">
        <f>IF(logic!$D$98=1,I181,I217)</f>
        <v>365</v>
      </c>
      <c r="J120" s="180">
        <f>IF(logic!$D$98=1,J181,J217)</f>
        <v>507</v>
      </c>
      <c r="K120" s="180">
        <f>IF(logic!$D$98=1,K181,K217)</f>
        <v>638</v>
      </c>
      <c r="L120" s="181">
        <f>IF(logic!$D$98=1,L181,L217)</f>
        <v>795</v>
      </c>
      <c r="M120" s="168">
        <v>500</v>
      </c>
      <c r="O120" s="168">
        <v>500</v>
      </c>
      <c r="P120" s="179">
        <v>318</v>
      </c>
      <c r="Q120" s="180">
        <v>413</v>
      </c>
      <c r="R120" s="180">
        <v>567</v>
      </c>
      <c r="S120" s="180">
        <v>703</v>
      </c>
      <c r="T120" s="181">
        <v>859</v>
      </c>
      <c r="U120" s="169"/>
      <c r="V120" s="170"/>
      <c r="W120" s="170"/>
      <c r="X120" s="170"/>
      <c r="Y120" s="171"/>
      <c r="Z120" s="168">
        <v>500</v>
      </c>
    </row>
    <row r="121" spans="2:26" ht="13.5" customHeight="1" x14ac:dyDescent="0.25">
      <c r="B121" s="10">
        <v>600</v>
      </c>
      <c r="C121" s="179">
        <f>IF(logic!$D$98=1,C182,C218)</f>
        <v>329</v>
      </c>
      <c r="D121" s="180">
        <f>IF(logic!$D$98=1,D182,D218)</f>
        <v>429</v>
      </c>
      <c r="E121" s="180">
        <f>IF(logic!$D$98=1,E182,E218)</f>
        <v>596</v>
      </c>
      <c r="F121" s="180">
        <f>IF(logic!$D$98=1,F182,F218)</f>
        <v>750</v>
      </c>
      <c r="G121" s="181">
        <f>IF(logic!$D$98=1,G182,G218)</f>
        <v>934</v>
      </c>
      <c r="H121" s="179">
        <f>IF(logic!$D$98=1,H182,H218)</f>
        <v>329</v>
      </c>
      <c r="I121" s="180">
        <f>IF(logic!$D$98=1,I182,I218)</f>
        <v>429</v>
      </c>
      <c r="J121" s="180">
        <f>IF(logic!$D$98=1,J182,J218)</f>
        <v>596</v>
      </c>
      <c r="K121" s="180">
        <f>IF(logic!$D$98=1,K182,K218)</f>
        <v>750</v>
      </c>
      <c r="L121" s="181">
        <f>IF(logic!$D$98=1,L182,L218)</f>
        <v>934</v>
      </c>
      <c r="M121" s="10">
        <v>600</v>
      </c>
      <c r="O121" s="10">
        <v>600</v>
      </c>
      <c r="P121" s="179">
        <v>372</v>
      </c>
      <c r="Q121" s="180">
        <v>482</v>
      </c>
      <c r="R121" s="180">
        <v>662</v>
      </c>
      <c r="S121" s="180">
        <v>820</v>
      </c>
      <c r="T121" s="181">
        <v>1003</v>
      </c>
      <c r="U121" s="75"/>
      <c r="V121" s="76"/>
      <c r="W121" s="76"/>
      <c r="X121" s="76"/>
      <c r="Y121" s="77"/>
      <c r="Z121" s="10">
        <v>600</v>
      </c>
    </row>
    <row r="122" spans="2:26" ht="13.5" customHeight="1" thickBot="1" x14ac:dyDescent="0.3">
      <c r="B122" s="11">
        <v>750</v>
      </c>
      <c r="C122" s="191">
        <f>IF(logic!$D$98=1,C183,C219)</f>
        <v>400</v>
      </c>
      <c r="D122" s="192">
        <f>IF(logic!$D$98=1,D183,D219)</f>
        <v>522</v>
      </c>
      <c r="E122" s="192">
        <f>IF(logic!$D$98=1,E183,E219)</f>
        <v>726</v>
      </c>
      <c r="F122" s="192">
        <f>IF(logic!$D$98=1,F183,F219)</f>
        <v>913</v>
      </c>
      <c r="G122" s="193">
        <f>IF(logic!$D$98=1,G183,G219)</f>
        <v>1138</v>
      </c>
      <c r="H122" s="191">
        <f>IF(logic!$D$98=1,H183,H219)</f>
        <v>400</v>
      </c>
      <c r="I122" s="192">
        <f>IF(logic!$D$98=1,I183,I219)</f>
        <v>522</v>
      </c>
      <c r="J122" s="192">
        <f>IF(logic!$D$98=1,J183,J219)</f>
        <v>726</v>
      </c>
      <c r="K122" s="192">
        <f>IF(logic!$D$98=1,K183,K219)</f>
        <v>913</v>
      </c>
      <c r="L122" s="193">
        <f>IF(logic!$D$98=1,L183,L219)</f>
        <v>1138</v>
      </c>
      <c r="M122" s="11">
        <v>750</v>
      </c>
      <c r="O122" s="11">
        <v>750</v>
      </c>
      <c r="P122" s="191">
        <v>449</v>
      </c>
      <c r="Q122" s="192">
        <v>583</v>
      </c>
      <c r="R122" s="192">
        <v>799</v>
      </c>
      <c r="S122" s="192">
        <v>991</v>
      </c>
      <c r="T122" s="193">
        <v>1211</v>
      </c>
      <c r="U122" s="78"/>
      <c r="V122" s="79"/>
      <c r="W122" s="79"/>
      <c r="X122" s="79"/>
      <c r="Y122" s="80"/>
      <c r="Z122" s="11">
        <v>750</v>
      </c>
    </row>
    <row r="123" spans="2:26" ht="13.5" customHeight="1" thickBot="1" x14ac:dyDescent="0.3"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177"/>
    </row>
    <row r="124" spans="2:26" ht="13.5" customHeight="1" thickBot="1" x14ac:dyDescent="0.3">
      <c r="B124" s="34"/>
      <c r="C124" s="35" t="s">
        <v>14</v>
      </c>
      <c r="D124" s="36"/>
      <c r="E124" s="36"/>
      <c r="F124" s="36"/>
      <c r="G124" s="36"/>
      <c r="H124" s="35" t="s">
        <v>15</v>
      </c>
      <c r="I124" s="36"/>
      <c r="J124" s="36"/>
      <c r="K124" s="36"/>
      <c r="L124" s="37"/>
      <c r="M124" s="34"/>
      <c r="O124" s="34"/>
      <c r="P124" s="35" t="s">
        <v>14</v>
      </c>
      <c r="Q124" s="36"/>
      <c r="R124" s="36"/>
      <c r="S124" s="36"/>
      <c r="T124" s="36"/>
      <c r="U124" s="35" t="s">
        <v>15</v>
      </c>
      <c r="V124" s="36"/>
      <c r="W124" s="36"/>
      <c r="X124" s="36"/>
      <c r="Y124" s="37"/>
      <c r="Z124" s="34"/>
    </row>
    <row r="125" spans="2:26" ht="13.5" customHeight="1" x14ac:dyDescent="0.25">
      <c r="B125" s="7" t="s">
        <v>9</v>
      </c>
      <c r="C125" s="38" t="s">
        <v>10</v>
      </c>
      <c r="D125" s="39"/>
      <c r="E125" s="39"/>
      <c r="F125" s="39"/>
      <c r="G125" s="40"/>
      <c r="H125" s="38" t="s">
        <v>10</v>
      </c>
      <c r="I125" s="39"/>
      <c r="J125" s="39"/>
      <c r="K125" s="39"/>
      <c r="L125" s="40"/>
      <c r="M125" s="7" t="s">
        <v>9</v>
      </c>
      <c r="O125" s="7" t="s">
        <v>9</v>
      </c>
      <c r="P125" s="38" t="s">
        <v>10</v>
      </c>
      <c r="Q125" s="39"/>
      <c r="R125" s="39"/>
      <c r="S125" s="39"/>
      <c r="T125" s="40"/>
      <c r="U125" s="38" t="s">
        <v>10</v>
      </c>
      <c r="V125" s="39"/>
      <c r="W125" s="39"/>
      <c r="X125" s="39"/>
      <c r="Y125" s="40"/>
      <c r="Z125" s="7" t="s">
        <v>9</v>
      </c>
    </row>
    <row r="126" spans="2:26" ht="13.5" customHeight="1" thickBot="1" x14ac:dyDescent="0.3">
      <c r="B126" s="8" t="s">
        <v>11</v>
      </c>
      <c r="C126" s="15">
        <v>700</v>
      </c>
      <c r="D126" s="16">
        <v>900</v>
      </c>
      <c r="E126" s="16">
        <v>1220</v>
      </c>
      <c r="F126" s="16">
        <v>1500</v>
      </c>
      <c r="G126" s="17">
        <v>1820</v>
      </c>
      <c r="H126" s="15">
        <v>700</v>
      </c>
      <c r="I126" s="16">
        <v>900</v>
      </c>
      <c r="J126" s="16">
        <v>1220</v>
      </c>
      <c r="K126" s="16">
        <v>1500</v>
      </c>
      <c r="L126" s="17">
        <v>1820</v>
      </c>
      <c r="M126" s="8" t="s">
        <v>11</v>
      </c>
      <c r="O126" s="8" t="s">
        <v>11</v>
      </c>
      <c r="P126" s="15">
        <v>700</v>
      </c>
      <c r="Q126" s="16">
        <v>900</v>
      </c>
      <c r="R126" s="16">
        <v>1220</v>
      </c>
      <c r="S126" s="16">
        <v>1500</v>
      </c>
      <c r="T126" s="17">
        <v>1820</v>
      </c>
      <c r="U126" s="15">
        <v>700</v>
      </c>
      <c r="V126" s="16">
        <v>900</v>
      </c>
      <c r="W126" s="16">
        <v>1220</v>
      </c>
      <c r="X126" s="16">
        <v>1500</v>
      </c>
      <c r="Y126" s="17">
        <v>1820</v>
      </c>
      <c r="Z126" s="8" t="s">
        <v>11</v>
      </c>
    </row>
    <row r="127" spans="2:26" ht="13.5" customHeight="1" x14ac:dyDescent="0.25">
      <c r="B127" s="9">
        <v>450</v>
      </c>
      <c r="C127" s="182">
        <f>IF(logic!$D$98=1,C188,C224)</f>
        <v>1.2225999999999999</v>
      </c>
      <c r="D127" s="183">
        <f>IF(logic!$D$98=1,D188,D224)</f>
        <v>1.2358</v>
      </c>
      <c r="E127" s="183">
        <f>IF(logic!$D$98=1,E188,E224)</f>
        <v>1.2567999999999999</v>
      </c>
      <c r="F127" s="183">
        <f>IF(logic!$D$98=1,F188,F224)</f>
        <v>1.2521</v>
      </c>
      <c r="G127" s="184">
        <f>IF(logic!$D$98=1,G188,G224)</f>
        <v>1.2421</v>
      </c>
      <c r="H127" s="182">
        <f>IF(logic!$D$98=1,H188,H224)</f>
        <v>1.2225999999999999</v>
      </c>
      <c r="I127" s="183">
        <f>IF(logic!$D$98=1,I188,I224)</f>
        <v>1.2358</v>
      </c>
      <c r="J127" s="183">
        <f>IF(logic!$D$98=1,J188,J224)</f>
        <v>1.2567999999999999</v>
      </c>
      <c r="K127" s="183">
        <f>IF(logic!$D$98=1,K188,K224)</f>
        <v>1.2521</v>
      </c>
      <c r="L127" s="184">
        <f>IF(logic!$D$98=1,L188,L224)</f>
        <v>1.2421</v>
      </c>
      <c r="M127" s="9">
        <v>450</v>
      </c>
      <c r="O127" s="9">
        <v>450</v>
      </c>
      <c r="P127" s="182">
        <v>1.2765</v>
      </c>
      <c r="Q127" s="183">
        <v>1.2783</v>
      </c>
      <c r="R127" s="183">
        <v>1.2810999999999999</v>
      </c>
      <c r="S127" s="183">
        <v>1.2836000000000001</v>
      </c>
      <c r="T127" s="184">
        <v>1.2864</v>
      </c>
      <c r="U127" s="72"/>
      <c r="V127" s="73"/>
      <c r="W127" s="73"/>
      <c r="X127" s="73"/>
      <c r="Y127" s="74"/>
      <c r="Z127" s="9">
        <v>450</v>
      </c>
    </row>
    <row r="128" spans="2:26" ht="13.5" customHeight="1" x14ac:dyDescent="0.25">
      <c r="B128" s="168">
        <v>500</v>
      </c>
      <c r="C128" s="182">
        <f>IF(logic!$D$98=1,C189,C225)</f>
        <v>1.2225999999999999</v>
      </c>
      <c r="D128" s="183">
        <f>IF(logic!$D$98=1,D189,D225)</f>
        <v>1.2346999999999999</v>
      </c>
      <c r="E128" s="183">
        <f>IF(logic!$D$98=1,E189,E225)</f>
        <v>1.254</v>
      </c>
      <c r="F128" s="183">
        <f>IF(logic!$D$98=1,F189,F225)</f>
        <v>1.2483</v>
      </c>
      <c r="G128" s="184">
        <f>IF(logic!$D$98=1,G189,G225)</f>
        <v>1.2393000000000001</v>
      </c>
      <c r="H128" s="182">
        <f>IF(logic!$D$98=1,H189,H225)</f>
        <v>1.2225999999999999</v>
      </c>
      <c r="I128" s="183">
        <f>IF(logic!$D$98=1,I189,I225)</f>
        <v>1.2346999999999999</v>
      </c>
      <c r="J128" s="183">
        <f>IF(logic!$D$98=1,J189,J225)</f>
        <v>1.254</v>
      </c>
      <c r="K128" s="183">
        <f>IF(logic!$D$98=1,K189,K225)</f>
        <v>1.2483</v>
      </c>
      <c r="L128" s="184">
        <f>IF(logic!$D$98=1,L189,L225)</f>
        <v>1.2393000000000001</v>
      </c>
      <c r="M128" s="168">
        <v>500</v>
      </c>
      <c r="O128" s="168">
        <v>500</v>
      </c>
      <c r="P128" s="182">
        <v>1.2655000000000001</v>
      </c>
      <c r="Q128" s="183">
        <v>1.2690999999999999</v>
      </c>
      <c r="R128" s="183">
        <v>1.2748999999999999</v>
      </c>
      <c r="S128" s="183">
        <v>1.28</v>
      </c>
      <c r="T128" s="184">
        <v>1.2859</v>
      </c>
      <c r="U128" s="169"/>
      <c r="V128" s="170"/>
      <c r="W128" s="170"/>
      <c r="X128" s="170"/>
      <c r="Y128" s="171"/>
      <c r="Z128" s="168">
        <v>500</v>
      </c>
    </row>
    <row r="129" spans="2:26" ht="13.5" customHeight="1" x14ac:dyDescent="0.25">
      <c r="B129" s="10">
        <v>600</v>
      </c>
      <c r="C129" s="182">
        <f>IF(logic!$D$98=1,C190,C226)</f>
        <v>1.2224999999999999</v>
      </c>
      <c r="D129" s="183">
        <f>IF(logic!$D$98=1,D190,D226)</f>
        <v>1.2324999999999999</v>
      </c>
      <c r="E129" s="183">
        <f>IF(logic!$D$98=1,E190,E226)</f>
        <v>1.2484</v>
      </c>
      <c r="F129" s="183">
        <f>IF(logic!$D$98=1,F190,F226)</f>
        <v>1.2407999999999999</v>
      </c>
      <c r="G129" s="184">
        <f>IF(logic!$D$98=1,G190,G226)</f>
        <v>1.2337</v>
      </c>
      <c r="H129" s="182">
        <f>IF(logic!$D$98=1,H190,H226)</f>
        <v>1.2224999999999999</v>
      </c>
      <c r="I129" s="183">
        <f>IF(logic!$D$98=1,I190,I226)</f>
        <v>1.2324999999999999</v>
      </c>
      <c r="J129" s="183">
        <f>IF(logic!$D$98=1,J190,J226)</f>
        <v>1.2484</v>
      </c>
      <c r="K129" s="183">
        <f>IF(logic!$D$98=1,K190,K226)</f>
        <v>1.2407999999999999</v>
      </c>
      <c r="L129" s="184">
        <f>IF(logic!$D$98=1,L190,L226)</f>
        <v>1.2337</v>
      </c>
      <c r="M129" s="10">
        <v>600</v>
      </c>
      <c r="O129" s="10">
        <v>600</v>
      </c>
      <c r="P129" s="182">
        <v>1.2435</v>
      </c>
      <c r="Q129" s="183">
        <v>1.2508999999999999</v>
      </c>
      <c r="R129" s="183">
        <v>1.2626999999999999</v>
      </c>
      <c r="S129" s="183">
        <v>1.2729999999999999</v>
      </c>
      <c r="T129" s="184">
        <v>1.2847999999999999</v>
      </c>
      <c r="U129" s="75"/>
      <c r="V129" s="76"/>
      <c r="W129" s="76"/>
      <c r="X129" s="76"/>
      <c r="Y129" s="77"/>
      <c r="Z129" s="10">
        <v>600</v>
      </c>
    </row>
    <row r="130" spans="2:26" ht="13.5" customHeight="1" thickBot="1" x14ac:dyDescent="0.3">
      <c r="B130" s="11">
        <v>750</v>
      </c>
      <c r="C130" s="188">
        <f>IF(logic!$D$98=1,C191,C227)</f>
        <v>1.2223999999999999</v>
      </c>
      <c r="D130" s="189">
        <f>IF(logic!$D$98=1,D191,D227)</f>
        <v>1.2292000000000001</v>
      </c>
      <c r="E130" s="189">
        <f>IF(logic!$D$98=1,E191,E227)</f>
        <v>1.24</v>
      </c>
      <c r="F130" s="189">
        <f>IF(logic!$D$98=1,F191,F227)</f>
        <v>1.2294</v>
      </c>
      <c r="G130" s="190">
        <f>IF(logic!$D$98=1,G191,G227)</f>
        <v>1.2252000000000001</v>
      </c>
      <c r="H130" s="188">
        <f>IF(logic!$D$98=1,H191,H227)</f>
        <v>1.2223999999999999</v>
      </c>
      <c r="I130" s="189">
        <f>IF(logic!$D$98=1,I191,I227)</f>
        <v>1.2292000000000001</v>
      </c>
      <c r="J130" s="189">
        <f>IF(logic!$D$98=1,J191,J227)</f>
        <v>1.24</v>
      </c>
      <c r="K130" s="189">
        <f>IF(logic!$D$98=1,K191,K227)</f>
        <v>1.2294</v>
      </c>
      <c r="L130" s="190">
        <f>IF(logic!$D$98=1,L191,L227)</f>
        <v>1.2252000000000001</v>
      </c>
      <c r="M130" s="11">
        <v>750</v>
      </c>
      <c r="O130" s="11">
        <v>750</v>
      </c>
      <c r="P130" s="188">
        <v>1.2104999999999999</v>
      </c>
      <c r="Q130" s="189">
        <v>1.2235</v>
      </c>
      <c r="R130" s="189">
        <v>1.2442</v>
      </c>
      <c r="S130" s="189">
        <v>1.2624</v>
      </c>
      <c r="T130" s="190">
        <v>1.2830999999999999</v>
      </c>
      <c r="U130" s="78"/>
      <c r="V130" s="79"/>
      <c r="W130" s="79"/>
      <c r="X130" s="79"/>
      <c r="Y130" s="80"/>
      <c r="Z130" s="11">
        <v>750</v>
      </c>
    </row>
    <row r="131" spans="2:26" ht="15.75" thickBot="1" x14ac:dyDescent="0.3">
      <c r="B131" s="34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</row>
    <row r="132" spans="2:26" ht="15" customHeight="1" thickBot="1" x14ac:dyDescent="0.3">
      <c r="B132" s="34"/>
      <c r="C132" s="41" t="s">
        <v>271</v>
      </c>
      <c r="D132" s="42"/>
      <c r="E132" s="42"/>
      <c r="F132" s="43"/>
      <c r="N132" s="34"/>
      <c r="O132" s="34"/>
      <c r="P132" s="41" t="s">
        <v>271</v>
      </c>
      <c r="Q132" s="42"/>
      <c r="R132" s="42"/>
      <c r="S132" s="43"/>
    </row>
    <row r="133" spans="2:26" ht="15" customHeight="1" x14ac:dyDescent="0.25">
      <c r="B133" s="7" t="s">
        <v>9</v>
      </c>
      <c r="C133" s="44" t="s">
        <v>10</v>
      </c>
      <c r="D133" s="45"/>
      <c r="E133" s="45"/>
      <c r="F133" s="46"/>
      <c r="O133" s="7" t="s">
        <v>9</v>
      </c>
      <c r="P133" s="44" t="s">
        <v>10</v>
      </c>
      <c r="Q133" s="45"/>
      <c r="R133" s="45"/>
      <c r="S133" s="46"/>
    </row>
    <row r="134" spans="2:26" ht="15" customHeight="1" thickBot="1" x14ac:dyDescent="0.3">
      <c r="B134" s="8" t="s">
        <v>11</v>
      </c>
      <c r="C134" s="15">
        <v>900</v>
      </c>
      <c r="D134" s="16">
        <v>1220</v>
      </c>
      <c r="E134" s="16">
        <v>1500</v>
      </c>
      <c r="F134" s="17">
        <v>1820</v>
      </c>
      <c r="O134" s="8" t="s">
        <v>11</v>
      </c>
      <c r="P134" s="15">
        <v>900</v>
      </c>
      <c r="Q134" s="16">
        <v>1220</v>
      </c>
      <c r="R134" s="16">
        <v>1500</v>
      </c>
      <c r="S134" s="17">
        <v>1820</v>
      </c>
    </row>
    <row r="135" spans="2:26" ht="13.5" customHeight="1" x14ac:dyDescent="0.25">
      <c r="B135" s="9">
        <v>450</v>
      </c>
      <c r="C135" s="185">
        <v>249</v>
      </c>
      <c r="D135" s="186">
        <v>338</v>
      </c>
      <c r="E135" s="186">
        <v>419</v>
      </c>
      <c r="F135" s="187">
        <v>516</v>
      </c>
      <c r="O135" s="9">
        <v>450</v>
      </c>
      <c r="P135" s="72"/>
      <c r="Q135" s="73"/>
      <c r="R135" s="73"/>
      <c r="S135" s="74"/>
    </row>
    <row r="136" spans="2:26" ht="13.5" customHeight="1" x14ac:dyDescent="0.25">
      <c r="B136" s="10">
        <v>600</v>
      </c>
      <c r="C136" s="179">
        <v>319</v>
      </c>
      <c r="D136" s="180">
        <v>433</v>
      </c>
      <c r="E136" s="180">
        <v>537</v>
      </c>
      <c r="F136" s="181">
        <v>662</v>
      </c>
      <c r="O136" s="10">
        <v>600</v>
      </c>
      <c r="P136" s="75"/>
      <c r="Q136" s="76"/>
      <c r="R136" s="76"/>
      <c r="S136" s="77"/>
    </row>
    <row r="137" spans="2:26" ht="13.5" customHeight="1" thickBot="1" x14ac:dyDescent="0.3">
      <c r="B137" s="11">
        <v>750</v>
      </c>
      <c r="C137" s="191">
        <v>387</v>
      </c>
      <c r="D137" s="192">
        <v>526</v>
      </c>
      <c r="E137" s="192">
        <v>652</v>
      </c>
      <c r="F137" s="193">
        <v>802</v>
      </c>
      <c r="O137" s="11">
        <v>750</v>
      </c>
      <c r="P137" s="78"/>
      <c r="Q137" s="79"/>
      <c r="R137" s="79"/>
      <c r="S137" s="80"/>
    </row>
    <row r="138" spans="2:26" ht="15.75" thickBot="1" x14ac:dyDescent="0.3"/>
    <row r="139" spans="2:26" ht="15.75" thickBot="1" x14ac:dyDescent="0.3">
      <c r="B139" s="34"/>
      <c r="C139" s="41" t="s">
        <v>271</v>
      </c>
      <c r="D139" s="42"/>
      <c r="E139" s="42"/>
      <c r="F139" s="43"/>
      <c r="N139" s="34"/>
      <c r="O139" s="34"/>
      <c r="P139" s="41" t="s">
        <v>271</v>
      </c>
      <c r="Q139" s="42"/>
      <c r="R139" s="42"/>
      <c r="S139" s="43"/>
    </row>
    <row r="140" spans="2:26" x14ac:dyDescent="0.25">
      <c r="B140" s="7" t="s">
        <v>9</v>
      </c>
      <c r="C140" s="44" t="s">
        <v>10</v>
      </c>
      <c r="D140" s="45"/>
      <c r="E140" s="45"/>
      <c r="F140" s="46"/>
      <c r="O140" s="7" t="s">
        <v>9</v>
      </c>
      <c r="P140" s="44" t="s">
        <v>10</v>
      </c>
      <c r="Q140" s="45"/>
      <c r="R140" s="45"/>
      <c r="S140" s="46"/>
    </row>
    <row r="141" spans="2:26" ht="15.75" thickBot="1" x14ac:dyDescent="0.3">
      <c r="B141" s="8" t="s">
        <v>11</v>
      </c>
      <c r="C141" s="15">
        <v>900</v>
      </c>
      <c r="D141" s="16">
        <v>1220</v>
      </c>
      <c r="E141" s="16">
        <v>1500</v>
      </c>
      <c r="F141" s="17">
        <v>1820</v>
      </c>
      <c r="O141" s="8" t="s">
        <v>11</v>
      </c>
      <c r="P141" s="15">
        <v>900</v>
      </c>
      <c r="Q141" s="16">
        <v>1220</v>
      </c>
      <c r="R141" s="16">
        <v>1500</v>
      </c>
      <c r="S141" s="17">
        <v>1820</v>
      </c>
    </row>
    <row r="142" spans="2:26" x14ac:dyDescent="0.25">
      <c r="B142" s="9">
        <v>450</v>
      </c>
      <c r="C142" s="194">
        <v>1.2519</v>
      </c>
      <c r="D142" s="195">
        <v>1.2768999999999999</v>
      </c>
      <c r="E142" s="195">
        <v>1.266</v>
      </c>
      <c r="F142" s="196">
        <v>1.2625</v>
      </c>
      <c r="O142" s="9">
        <v>450</v>
      </c>
      <c r="P142" s="72"/>
      <c r="Q142" s="73"/>
      <c r="R142" s="73"/>
      <c r="S142" s="74"/>
    </row>
    <row r="143" spans="2:26" x14ac:dyDescent="0.25">
      <c r="B143" s="10">
        <v>600</v>
      </c>
      <c r="C143" s="182">
        <v>1.2522</v>
      </c>
      <c r="D143" s="183">
        <v>1.2709999999999999</v>
      </c>
      <c r="E143" s="183">
        <v>1.2606999999999999</v>
      </c>
      <c r="F143" s="184">
        <v>1.2563</v>
      </c>
      <c r="O143" s="10">
        <v>600</v>
      </c>
      <c r="P143" s="75"/>
      <c r="Q143" s="76"/>
      <c r="R143" s="76"/>
      <c r="S143" s="77"/>
    </row>
    <row r="144" spans="2:26" ht="15.75" thickBot="1" x14ac:dyDescent="0.3">
      <c r="B144" s="11">
        <v>750</v>
      </c>
      <c r="C144" s="188">
        <v>1.2525999999999999</v>
      </c>
      <c r="D144" s="189">
        <v>1.2649999999999999</v>
      </c>
      <c r="E144" s="189">
        <v>1.2553000000000001</v>
      </c>
      <c r="F144" s="190">
        <v>1.25</v>
      </c>
      <c r="O144" s="11">
        <v>750</v>
      </c>
      <c r="P144" s="78"/>
      <c r="Q144" s="79"/>
      <c r="R144" s="79"/>
      <c r="S144" s="80"/>
    </row>
    <row r="145" spans="1:18" ht="15.75" thickBot="1" x14ac:dyDescent="0.3"/>
    <row r="146" spans="1:18" ht="15.75" thickBot="1" x14ac:dyDescent="0.3">
      <c r="A146" s="221"/>
      <c r="B146" s="34"/>
      <c r="C146" s="41" t="s">
        <v>609</v>
      </c>
      <c r="D146" s="42"/>
      <c r="E146" s="43"/>
      <c r="N146" s="34"/>
      <c r="O146" s="34"/>
      <c r="P146" s="41" t="s">
        <v>609</v>
      </c>
      <c r="Q146" s="42"/>
      <c r="R146" s="43"/>
    </row>
    <row r="147" spans="1:18" x14ac:dyDescent="0.25">
      <c r="A147" s="221"/>
      <c r="B147" s="7" t="s">
        <v>9</v>
      </c>
      <c r="C147" s="44" t="s">
        <v>10</v>
      </c>
      <c r="D147" s="45"/>
      <c r="E147" s="46"/>
      <c r="O147" s="7" t="s">
        <v>9</v>
      </c>
      <c r="P147" s="44" t="s">
        <v>10</v>
      </c>
      <c r="Q147" s="45"/>
      <c r="R147" s="46"/>
    </row>
    <row r="148" spans="1:18" ht="15.75" thickBot="1" x14ac:dyDescent="0.3">
      <c r="A148" s="221"/>
      <c r="B148" s="8" t="s">
        <v>11</v>
      </c>
      <c r="C148" s="15">
        <v>1095</v>
      </c>
      <c r="D148" s="16">
        <v>1415</v>
      </c>
      <c r="E148" s="17">
        <v>1695</v>
      </c>
      <c r="O148" s="8" t="s">
        <v>11</v>
      </c>
      <c r="P148" s="15">
        <v>1095</v>
      </c>
      <c r="Q148" s="16">
        <v>1415</v>
      </c>
      <c r="R148" s="17">
        <v>1695</v>
      </c>
    </row>
    <row r="149" spans="1:18" x14ac:dyDescent="0.25">
      <c r="A149" s="221"/>
      <c r="B149" s="9">
        <v>496</v>
      </c>
      <c r="C149" s="185">
        <v>520</v>
      </c>
      <c r="D149" s="186">
        <v>670</v>
      </c>
      <c r="E149" s="187">
        <v>803</v>
      </c>
      <c r="O149" s="9">
        <v>496</v>
      </c>
      <c r="P149" s="72"/>
      <c r="Q149" s="73"/>
      <c r="R149" s="74"/>
    </row>
    <row r="150" spans="1:18" ht="15.75" thickBot="1" x14ac:dyDescent="0.3">
      <c r="A150" s="221"/>
      <c r="B150" s="11">
        <v>596</v>
      </c>
      <c r="C150" s="191">
        <v>593</v>
      </c>
      <c r="D150" s="192">
        <v>763</v>
      </c>
      <c r="E150" s="193">
        <v>914</v>
      </c>
      <c r="O150" s="11">
        <v>596</v>
      </c>
      <c r="P150" s="78"/>
      <c r="Q150" s="79"/>
      <c r="R150" s="80"/>
    </row>
    <row r="151" spans="1:18" ht="15.75" thickBot="1" x14ac:dyDescent="0.3">
      <c r="A151" s="221"/>
    </row>
    <row r="152" spans="1:18" ht="15.75" thickBot="1" x14ac:dyDescent="0.3">
      <c r="A152" s="221"/>
      <c r="B152" s="34"/>
      <c r="C152" s="41" t="s">
        <v>609</v>
      </c>
      <c r="D152" s="42"/>
      <c r="E152" s="43"/>
      <c r="N152" s="34"/>
      <c r="O152" s="34"/>
      <c r="P152" s="41" t="s">
        <v>609</v>
      </c>
      <c r="Q152" s="42"/>
      <c r="R152" s="43"/>
    </row>
    <row r="153" spans="1:18" x14ac:dyDescent="0.25">
      <c r="A153" s="221"/>
      <c r="B153" s="7" t="s">
        <v>9</v>
      </c>
      <c r="C153" s="44" t="s">
        <v>10</v>
      </c>
      <c r="D153" s="45"/>
      <c r="E153" s="46"/>
      <c r="O153" s="7" t="s">
        <v>9</v>
      </c>
      <c r="P153" s="44" t="s">
        <v>10</v>
      </c>
      <c r="Q153" s="45"/>
      <c r="R153" s="46"/>
    </row>
    <row r="154" spans="1:18" ht="15.75" thickBot="1" x14ac:dyDescent="0.3">
      <c r="A154" s="221"/>
      <c r="B154" s="8" t="s">
        <v>11</v>
      </c>
      <c r="C154" s="15">
        <v>1095</v>
      </c>
      <c r="D154" s="16">
        <v>1415</v>
      </c>
      <c r="E154" s="17">
        <v>1695</v>
      </c>
      <c r="O154" s="8" t="s">
        <v>11</v>
      </c>
      <c r="P154" s="15">
        <v>1095</v>
      </c>
      <c r="Q154" s="16">
        <v>1415</v>
      </c>
      <c r="R154" s="17">
        <v>1695</v>
      </c>
    </row>
    <row r="155" spans="1:18" x14ac:dyDescent="0.25">
      <c r="A155" s="221"/>
      <c r="B155" s="9">
        <v>496</v>
      </c>
      <c r="C155" s="194">
        <v>1.3258000000000001</v>
      </c>
      <c r="D155" s="195">
        <v>1.3312999999999999</v>
      </c>
      <c r="E155" s="196">
        <v>1.3361000000000001</v>
      </c>
      <c r="O155" s="9">
        <v>496</v>
      </c>
      <c r="P155" s="72"/>
      <c r="Q155" s="73"/>
      <c r="R155" s="74"/>
    </row>
    <row r="156" spans="1:18" ht="15.75" thickBot="1" x14ac:dyDescent="0.3">
      <c r="A156" s="221"/>
      <c r="B156" s="11">
        <v>596</v>
      </c>
      <c r="C156" s="188">
        <v>1.3258000000000001</v>
      </c>
      <c r="D156" s="189">
        <v>1.3312999999999999</v>
      </c>
      <c r="E156" s="190">
        <v>1.3361000000000001</v>
      </c>
      <c r="O156" s="11">
        <v>596</v>
      </c>
      <c r="P156" s="78"/>
      <c r="Q156" s="79"/>
      <c r="R156" s="80"/>
    </row>
    <row r="159" spans="1:18" ht="18.75" x14ac:dyDescent="0.3">
      <c r="A159" s="220" t="s">
        <v>506</v>
      </c>
    </row>
    <row r="160" spans="1:18" ht="15.75" thickBot="1" x14ac:dyDescent="0.3"/>
    <row r="161" spans="2:13" ht="15.75" thickBot="1" x14ac:dyDescent="0.3">
      <c r="B161" s="34"/>
      <c r="C161" s="35" t="s">
        <v>12</v>
      </c>
      <c r="D161" s="36"/>
      <c r="E161" s="36"/>
      <c r="F161" s="36"/>
      <c r="G161" s="36"/>
      <c r="H161" s="35" t="s">
        <v>13</v>
      </c>
      <c r="I161" s="36"/>
      <c r="J161" s="36"/>
      <c r="K161" s="36"/>
      <c r="L161" s="37"/>
      <c r="M161" s="34"/>
    </row>
    <row r="162" spans="2:13" x14ac:dyDescent="0.25">
      <c r="B162" s="7" t="s">
        <v>9</v>
      </c>
      <c r="C162" s="38" t="s">
        <v>10</v>
      </c>
      <c r="D162" s="39"/>
      <c r="E162" s="39"/>
      <c r="F162" s="39"/>
      <c r="G162" s="40"/>
      <c r="H162" s="38" t="s">
        <v>10</v>
      </c>
      <c r="I162" s="39"/>
      <c r="J162" s="39"/>
      <c r="K162" s="39"/>
      <c r="L162" s="40"/>
      <c r="M162" s="7" t="s">
        <v>9</v>
      </c>
    </row>
    <row r="163" spans="2:13" ht="15.75" thickBot="1" x14ac:dyDescent="0.3">
      <c r="B163" s="8" t="s">
        <v>11</v>
      </c>
      <c r="C163" s="15">
        <v>700</v>
      </c>
      <c r="D163" s="16">
        <v>900</v>
      </c>
      <c r="E163" s="16">
        <v>1220</v>
      </c>
      <c r="F163" s="16">
        <v>1500</v>
      </c>
      <c r="G163" s="17">
        <v>1820</v>
      </c>
      <c r="H163" s="15">
        <v>700</v>
      </c>
      <c r="I163" s="16">
        <v>900</v>
      </c>
      <c r="J163" s="16">
        <v>1220</v>
      </c>
      <c r="K163" s="16">
        <v>1500</v>
      </c>
      <c r="L163" s="17">
        <v>1820</v>
      </c>
      <c r="M163" s="8" t="s">
        <v>11</v>
      </c>
    </row>
    <row r="164" spans="2:13" x14ac:dyDescent="0.25">
      <c r="B164" s="9">
        <v>450</v>
      </c>
      <c r="C164" s="185">
        <v>267</v>
      </c>
      <c r="D164" s="186">
        <v>348</v>
      </c>
      <c r="E164" s="186">
        <v>479</v>
      </c>
      <c r="F164" s="186">
        <v>597</v>
      </c>
      <c r="G164" s="187">
        <v>735</v>
      </c>
      <c r="H164" s="185">
        <v>267</v>
      </c>
      <c r="I164" s="186">
        <v>348</v>
      </c>
      <c r="J164" s="186">
        <v>479</v>
      </c>
      <c r="K164" s="186">
        <v>597</v>
      </c>
      <c r="L164" s="187">
        <v>735</v>
      </c>
      <c r="M164" s="9">
        <v>450</v>
      </c>
    </row>
    <row r="165" spans="2:13" x14ac:dyDescent="0.25">
      <c r="B165" s="168">
        <v>500</v>
      </c>
      <c r="C165" s="179">
        <v>292</v>
      </c>
      <c r="D165" s="180">
        <v>380</v>
      </c>
      <c r="E165" s="180">
        <v>523</v>
      </c>
      <c r="F165" s="180">
        <v>652</v>
      </c>
      <c r="G165" s="181">
        <v>803</v>
      </c>
      <c r="H165" s="179">
        <v>292</v>
      </c>
      <c r="I165" s="180">
        <v>380</v>
      </c>
      <c r="J165" s="180">
        <v>523</v>
      </c>
      <c r="K165" s="180">
        <v>652</v>
      </c>
      <c r="L165" s="181">
        <v>803</v>
      </c>
      <c r="M165" s="168">
        <v>500</v>
      </c>
    </row>
    <row r="166" spans="2:13" x14ac:dyDescent="0.25">
      <c r="B166" s="10">
        <v>600</v>
      </c>
      <c r="C166" s="179">
        <v>341</v>
      </c>
      <c r="D166" s="180">
        <v>443</v>
      </c>
      <c r="E166" s="180">
        <v>611</v>
      </c>
      <c r="F166" s="180">
        <v>761</v>
      </c>
      <c r="G166" s="181">
        <v>937</v>
      </c>
      <c r="H166" s="179">
        <v>341</v>
      </c>
      <c r="I166" s="180">
        <v>443</v>
      </c>
      <c r="J166" s="180">
        <v>611</v>
      </c>
      <c r="K166" s="180">
        <v>761</v>
      </c>
      <c r="L166" s="181">
        <v>937</v>
      </c>
      <c r="M166" s="10">
        <v>600</v>
      </c>
    </row>
    <row r="167" spans="2:13" ht="15.75" thickBot="1" x14ac:dyDescent="0.3">
      <c r="B167" s="11">
        <v>750</v>
      </c>
      <c r="C167" s="191">
        <v>412</v>
      </c>
      <c r="D167" s="192">
        <v>535</v>
      </c>
      <c r="E167" s="192">
        <v>737</v>
      </c>
      <c r="F167" s="192">
        <v>919</v>
      </c>
      <c r="G167" s="193">
        <v>1131</v>
      </c>
      <c r="H167" s="191">
        <v>412</v>
      </c>
      <c r="I167" s="192">
        <v>535</v>
      </c>
      <c r="J167" s="192">
        <v>737</v>
      </c>
      <c r="K167" s="192">
        <v>919</v>
      </c>
      <c r="L167" s="193">
        <v>1131</v>
      </c>
      <c r="M167" s="11">
        <v>750</v>
      </c>
    </row>
    <row r="168" spans="2:13" ht="15.75" thickBot="1" x14ac:dyDescent="0.3">
      <c r="B168" s="177"/>
      <c r="C168" s="177"/>
      <c r="D168" s="177"/>
      <c r="E168" s="177"/>
      <c r="F168" s="177"/>
      <c r="G168" s="177"/>
      <c r="H168" s="177"/>
      <c r="I168" s="177"/>
      <c r="J168" s="177"/>
      <c r="K168" s="177"/>
      <c r="L168" s="177"/>
      <c r="M168" s="177"/>
    </row>
    <row r="169" spans="2:13" ht="15.75" thickBot="1" x14ac:dyDescent="0.3">
      <c r="B169" s="177"/>
      <c r="C169" s="35" t="s">
        <v>12</v>
      </c>
      <c r="D169" s="36"/>
      <c r="E169" s="36"/>
      <c r="F169" s="36"/>
      <c r="G169" s="36"/>
      <c r="H169" s="35" t="s">
        <v>13</v>
      </c>
      <c r="I169" s="36"/>
      <c r="J169" s="36"/>
      <c r="K169" s="36"/>
      <c r="L169" s="37"/>
      <c r="M169" s="34"/>
    </row>
    <row r="170" spans="2:13" x14ac:dyDescent="0.25">
      <c r="B170" s="7" t="s">
        <v>9</v>
      </c>
      <c r="C170" s="38" t="s">
        <v>10</v>
      </c>
      <c r="D170" s="39"/>
      <c r="E170" s="39"/>
      <c r="F170" s="39"/>
      <c r="G170" s="40"/>
      <c r="H170" s="38" t="s">
        <v>10</v>
      </c>
      <c r="I170" s="39"/>
      <c r="J170" s="39"/>
      <c r="K170" s="39"/>
      <c r="L170" s="40"/>
      <c r="M170" s="7" t="s">
        <v>9</v>
      </c>
    </row>
    <row r="171" spans="2:13" ht="15.75" thickBot="1" x14ac:dyDescent="0.3">
      <c r="B171" s="8" t="s">
        <v>11</v>
      </c>
      <c r="C171" s="15">
        <v>700</v>
      </c>
      <c r="D171" s="16">
        <v>900</v>
      </c>
      <c r="E171" s="16">
        <v>1220</v>
      </c>
      <c r="F171" s="16">
        <v>1500</v>
      </c>
      <c r="G171" s="17">
        <v>1820</v>
      </c>
      <c r="H171" s="15">
        <v>700</v>
      </c>
      <c r="I171" s="16">
        <v>900</v>
      </c>
      <c r="J171" s="16">
        <v>1220</v>
      </c>
      <c r="K171" s="16">
        <v>1500</v>
      </c>
      <c r="L171" s="17">
        <v>1820</v>
      </c>
      <c r="M171" s="8" t="s">
        <v>11</v>
      </c>
    </row>
    <row r="172" spans="2:13" x14ac:dyDescent="0.25">
      <c r="B172" s="9">
        <v>450</v>
      </c>
      <c r="C172" s="182">
        <v>1.2309000000000001</v>
      </c>
      <c r="D172" s="183">
        <v>1.2392000000000001</v>
      </c>
      <c r="E172" s="183">
        <v>1.2524</v>
      </c>
      <c r="F172" s="183">
        <v>1.2514000000000001</v>
      </c>
      <c r="G172" s="184">
        <v>1.2503</v>
      </c>
      <c r="H172" s="182">
        <v>1.2309000000000001</v>
      </c>
      <c r="I172" s="183">
        <v>1.2392000000000001</v>
      </c>
      <c r="J172" s="183">
        <v>1.2524</v>
      </c>
      <c r="K172" s="183">
        <v>1.2514000000000001</v>
      </c>
      <c r="L172" s="184">
        <v>1.2503</v>
      </c>
      <c r="M172" s="9">
        <v>450</v>
      </c>
    </row>
    <row r="173" spans="2:13" x14ac:dyDescent="0.25">
      <c r="B173" s="168">
        <v>500</v>
      </c>
      <c r="C173" s="182">
        <v>1.2293000000000001</v>
      </c>
      <c r="D173" s="183">
        <v>1.2374000000000001</v>
      </c>
      <c r="E173" s="183">
        <v>1.2504999999999999</v>
      </c>
      <c r="F173" s="183">
        <v>1.2501</v>
      </c>
      <c r="G173" s="184">
        <v>1.2496</v>
      </c>
      <c r="H173" s="182">
        <v>1.2293000000000001</v>
      </c>
      <c r="I173" s="183">
        <v>1.2374000000000001</v>
      </c>
      <c r="J173" s="183">
        <v>1.2504999999999999</v>
      </c>
      <c r="K173" s="183">
        <v>1.2501</v>
      </c>
      <c r="L173" s="184">
        <v>1.2496</v>
      </c>
      <c r="M173" s="168">
        <v>500</v>
      </c>
    </row>
    <row r="174" spans="2:13" x14ac:dyDescent="0.25">
      <c r="B174" s="10">
        <v>600</v>
      </c>
      <c r="C174" s="182">
        <v>1.226</v>
      </c>
      <c r="D174" s="183">
        <v>1.234</v>
      </c>
      <c r="E174" s="183">
        <v>1.2467999999999999</v>
      </c>
      <c r="F174" s="183">
        <v>1.2474000000000001</v>
      </c>
      <c r="G174" s="184">
        <v>1.2481</v>
      </c>
      <c r="H174" s="182">
        <v>1.226</v>
      </c>
      <c r="I174" s="183">
        <v>1.234</v>
      </c>
      <c r="J174" s="183">
        <v>1.2467999999999999</v>
      </c>
      <c r="K174" s="183">
        <v>1.2474000000000001</v>
      </c>
      <c r="L174" s="184">
        <v>1.2481</v>
      </c>
      <c r="M174" s="10">
        <v>600</v>
      </c>
    </row>
    <row r="175" spans="2:13" ht="15.75" thickBot="1" x14ac:dyDescent="0.3">
      <c r="B175" s="11">
        <v>750</v>
      </c>
      <c r="C175" s="188">
        <v>1.2211000000000001</v>
      </c>
      <c r="D175" s="189">
        <v>1.2287999999999999</v>
      </c>
      <c r="E175" s="189">
        <v>1.2412000000000001</v>
      </c>
      <c r="F175" s="189">
        <v>1.2433000000000001</v>
      </c>
      <c r="G175" s="190">
        <v>1.2458</v>
      </c>
      <c r="H175" s="188">
        <v>1.2211000000000001</v>
      </c>
      <c r="I175" s="189">
        <v>1.2287999999999999</v>
      </c>
      <c r="J175" s="189">
        <v>1.2412000000000001</v>
      </c>
      <c r="K175" s="189">
        <v>1.2433000000000001</v>
      </c>
      <c r="L175" s="190">
        <v>1.2458</v>
      </c>
      <c r="M175" s="11">
        <v>750</v>
      </c>
    </row>
    <row r="176" spans="2:13" ht="15.75" thickBot="1" x14ac:dyDescent="0.3"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</row>
    <row r="177" spans="2:13" ht="15.75" thickBot="1" x14ac:dyDescent="0.3">
      <c r="B177" s="34"/>
      <c r="C177" s="35" t="s">
        <v>14</v>
      </c>
      <c r="D177" s="36"/>
      <c r="E177" s="36"/>
      <c r="F177" s="36"/>
      <c r="G177" s="36"/>
      <c r="H177" s="35" t="s">
        <v>15</v>
      </c>
      <c r="I177" s="36"/>
      <c r="J177" s="36"/>
      <c r="K177" s="36"/>
      <c r="L177" s="37"/>
      <c r="M177" s="34"/>
    </row>
    <row r="178" spans="2:13" x14ac:dyDescent="0.25">
      <c r="B178" s="7" t="s">
        <v>9</v>
      </c>
      <c r="C178" s="38" t="s">
        <v>10</v>
      </c>
      <c r="D178" s="39"/>
      <c r="E178" s="39"/>
      <c r="F178" s="39"/>
      <c r="G178" s="40"/>
      <c r="H178" s="38" t="s">
        <v>10</v>
      </c>
      <c r="I178" s="39"/>
      <c r="J178" s="39"/>
      <c r="K178" s="39"/>
      <c r="L178" s="40"/>
      <c r="M178" s="7" t="s">
        <v>9</v>
      </c>
    </row>
    <row r="179" spans="2:13" ht="15.75" thickBot="1" x14ac:dyDescent="0.3">
      <c r="B179" s="8" t="s">
        <v>11</v>
      </c>
      <c r="C179" s="15">
        <v>700</v>
      </c>
      <c r="D179" s="16">
        <v>900</v>
      </c>
      <c r="E179" s="16">
        <v>1220</v>
      </c>
      <c r="F179" s="16">
        <v>1500</v>
      </c>
      <c r="G179" s="17">
        <v>1820</v>
      </c>
      <c r="H179" s="15">
        <v>700</v>
      </c>
      <c r="I179" s="16">
        <v>900</v>
      </c>
      <c r="J179" s="16">
        <v>1220</v>
      </c>
      <c r="K179" s="16">
        <v>1500</v>
      </c>
      <c r="L179" s="17">
        <v>1820</v>
      </c>
      <c r="M179" s="8" t="s">
        <v>11</v>
      </c>
    </row>
    <row r="180" spans="2:13" x14ac:dyDescent="0.25">
      <c r="B180" s="9">
        <v>450</v>
      </c>
      <c r="C180" s="185">
        <v>267</v>
      </c>
      <c r="D180" s="186">
        <v>348</v>
      </c>
      <c r="E180" s="186">
        <v>479</v>
      </c>
      <c r="F180" s="186">
        <v>597</v>
      </c>
      <c r="G180" s="187">
        <v>735</v>
      </c>
      <c r="H180" s="185">
        <v>267</v>
      </c>
      <c r="I180" s="186">
        <v>348</v>
      </c>
      <c r="J180" s="186">
        <v>479</v>
      </c>
      <c r="K180" s="186">
        <v>597</v>
      </c>
      <c r="L180" s="187">
        <v>735</v>
      </c>
      <c r="M180" s="9">
        <v>450</v>
      </c>
    </row>
    <row r="181" spans="2:13" x14ac:dyDescent="0.25">
      <c r="B181" s="168">
        <v>500</v>
      </c>
      <c r="C181" s="179">
        <v>292</v>
      </c>
      <c r="D181" s="180">
        <v>380</v>
      </c>
      <c r="E181" s="180">
        <v>523</v>
      </c>
      <c r="F181" s="180">
        <v>652</v>
      </c>
      <c r="G181" s="181">
        <v>803</v>
      </c>
      <c r="H181" s="179">
        <v>292</v>
      </c>
      <c r="I181" s="180">
        <v>380</v>
      </c>
      <c r="J181" s="180">
        <v>523</v>
      </c>
      <c r="K181" s="180">
        <v>652</v>
      </c>
      <c r="L181" s="181">
        <v>803</v>
      </c>
      <c r="M181" s="168">
        <v>500</v>
      </c>
    </row>
    <row r="182" spans="2:13" x14ac:dyDescent="0.25">
      <c r="B182" s="10">
        <v>600</v>
      </c>
      <c r="C182" s="179">
        <v>341</v>
      </c>
      <c r="D182" s="180">
        <v>443</v>
      </c>
      <c r="E182" s="180">
        <v>611</v>
      </c>
      <c r="F182" s="180">
        <v>761</v>
      </c>
      <c r="G182" s="181">
        <v>937</v>
      </c>
      <c r="H182" s="179">
        <v>341</v>
      </c>
      <c r="I182" s="180">
        <v>443</v>
      </c>
      <c r="J182" s="180">
        <v>611</v>
      </c>
      <c r="K182" s="180">
        <v>761</v>
      </c>
      <c r="L182" s="181">
        <v>937</v>
      </c>
      <c r="M182" s="10">
        <v>600</v>
      </c>
    </row>
    <row r="183" spans="2:13" ht="15.75" thickBot="1" x14ac:dyDescent="0.3">
      <c r="B183" s="11">
        <v>750</v>
      </c>
      <c r="C183" s="191">
        <v>412</v>
      </c>
      <c r="D183" s="192">
        <v>535</v>
      </c>
      <c r="E183" s="192">
        <v>737</v>
      </c>
      <c r="F183" s="192">
        <v>919</v>
      </c>
      <c r="G183" s="193">
        <v>1131</v>
      </c>
      <c r="H183" s="191">
        <v>412</v>
      </c>
      <c r="I183" s="192">
        <v>535</v>
      </c>
      <c r="J183" s="192">
        <v>737</v>
      </c>
      <c r="K183" s="192">
        <v>919</v>
      </c>
      <c r="L183" s="193">
        <v>1131</v>
      </c>
      <c r="M183" s="11">
        <v>750</v>
      </c>
    </row>
    <row r="184" spans="2:13" ht="15.75" thickBot="1" x14ac:dyDescent="0.3"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</row>
    <row r="185" spans="2:13" ht="15.75" thickBot="1" x14ac:dyDescent="0.3">
      <c r="B185" s="34"/>
      <c r="C185" s="35" t="s">
        <v>14</v>
      </c>
      <c r="D185" s="36"/>
      <c r="E185" s="36"/>
      <c r="F185" s="36"/>
      <c r="G185" s="36"/>
      <c r="H185" s="35" t="s">
        <v>15</v>
      </c>
      <c r="I185" s="36"/>
      <c r="J185" s="36"/>
      <c r="K185" s="36"/>
      <c r="L185" s="37"/>
      <c r="M185" s="34"/>
    </row>
    <row r="186" spans="2:13" x14ac:dyDescent="0.25">
      <c r="B186" s="7" t="s">
        <v>9</v>
      </c>
      <c r="C186" s="38" t="s">
        <v>10</v>
      </c>
      <c r="D186" s="39"/>
      <c r="E186" s="39"/>
      <c r="F186" s="39"/>
      <c r="G186" s="40"/>
      <c r="H186" s="38" t="s">
        <v>10</v>
      </c>
      <c r="I186" s="39"/>
      <c r="J186" s="39"/>
      <c r="K186" s="39"/>
      <c r="L186" s="40"/>
      <c r="M186" s="7" t="s">
        <v>9</v>
      </c>
    </row>
    <row r="187" spans="2:13" ht="15.75" thickBot="1" x14ac:dyDescent="0.3">
      <c r="B187" s="8" t="s">
        <v>11</v>
      </c>
      <c r="C187" s="15">
        <v>700</v>
      </c>
      <c r="D187" s="16">
        <v>900</v>
      </c>
      <c r="E187" s="16">
        <v>1220</v>
      </c>
      <c r="F187" s="16">
        <v>1500</v>
      </c>
      <c r="G187" s="17">
        <v>1820</v>
      </c>
      <c r="H187" s="15">
        <v>700</v>
      </c>
      <c r="I187" s="16">
        <v>900</v>
      </c>
      <c r="J187" s="16">
        <v>1220</v>
      </c>
      <c r="K187" s="16">
        <v>1500</v>
      </c>
      <c r="L187" s="17">
        <v>1820</v>
      </c>
      <c r="M187" s="8" t="s">
        <v>11</v>
      </c>
    </row>
    <row r="188" spans="2:13" x14ac:dyDescent="0.25">
      <c r="B188" s="9">
        <v>450</v>
      </c>
      <c r="C188" s="182">
        <v>1.2309000000000001</v>
      </c>
      <c r="D188" s="183">
        <v>1.2392000000000001</v>
      </c>
      <c r="E188" s="183">
        <v>1.2524</v>
      </c>
      <c r="F188" s="183">
        <v>1.2514000000000001</v>
      </c>
      <c r="G188" s="184">
        <v>1.2503</v>
      </c>
      <c r="H188" s="182">
        <v>1.2309000000000001</v>
      </c>
      <c r="I188" s="183">
        <v>1.2392000000000001</v>
      </c>
      <c r="J188" s="183">
        <v>1.2524</v>
      </c>
      <c r="K188" s="183">
        <v>1.2514000000000001</v>
      </c>
      <c r="L188" s="184">
        <v>1.2503</v>
      </c>
      <c r="M188" s="9">
        <v>450</v>
      </c>
    </row>
    <row r="189" spans="2:13" x14ac:dyDescent="0.25">
      <c r="B189" s="168">
        <v>500</v>
      </c>
      <c r="C189" s="182">
        <v>1.2293000000000001</v>
      </c>
      <c r="D189" s="183">
        <v>1.2374000000000001</v>
      </c>
      <c r="E189" s="183">
        <v>1.2504999999999999</v>
      </c>
      <c r="F189" s="183">
        <v>1.2501</v>
      </c>
      <c r="G189" s="184">
        <v>1.2496</v>
      </c>
      <c r="H189" s="182">
        <v>1.2293000000000001</v>
      </c>
      <c r="I189" s="183">
        <v>1.2374000000000001</v>
      </c>
      <c r="J189" s="183">
        <v>1.2504999999999999</v>
      </c>
      <c r="K189" s="183">
        <v>1.2501</v>
      </c>
      <c r="L189" s="184">
        <v>1.2496</v>
      </c>
      <c r="M189" s="168">
        <v>500</v>
      </c>
    </row>
    <row r="190" spans="2:13" x14ac:dyDescent="0.25">
      <c r="B190" s="10">
        <v>600</v>
      </c>
      <c r="C190" s="182">
        <v>1.226</v>
      </c>
      <c r="D190" s="183">
        <v>1.234</v>
      </c>
      <c r="E190" s="183">
        <v>1.2467999999999999</v>
      </c>
      <c r="F190" s="183">
        <v>1.2474000000000001</v>
      </c>
      <c r="G190" s="184">
        <v>1.2481</v>
      </c>
      <c r="H190" s="182">
        <v>1.226</v>
      </c>
      <c r="I190" s="183">
        <v>1.234</v>
      </c>
      <c r="J190" s="183">
        <v>1.2467999999999999</v>
      </c>
      <c r="K190" s="183">
        <v>1.2474000000000001</v>
      </c>
      <c r="L190" s="184">
        <v>1.2481</v>
      </c>
      <c r="M190" s="10">
        <v>600</v>
      </c>
    </row>
    <row r="191" spans="2:13" ht="15.75" thickBot="1" x14ac:dyDescent="0.3">
      <c r="B191" s="11">
        <v>750</v>
      </c>
      <c r="C191" s="188">
        <v>1.2211000000000001</v>
      </c>
      <c r="D191" s="189">
        <v>1.2287999999999999</v>
      </c>
      <c r="E191" s="189">
        <v>1.2412000000000001</v>
      </c>
      <c r="F191" s="189">
        <v>1.2433000000000001</v>
      </c>
      <c r="G191" s="190">
        <v>1.2458</v>
      </c>
      <c r="H191" s="188">
        <v>1.2211000000000001</v>
      </c>
      <c r="I191" s="189">
        <v>1.2287999999999999</v>
      </c>
      <c r="J191" s="189">
        <v>1.2412000000000001</v>
      </c>
      <c r="K191" s="189">
        <v>1.2433000000000001</v>
      </c>
      <c r="L191" s="190">
        <v>1.2458</v>
      </c>
      <c r="M191" s="11">
        <v>750</v>
      </c>
    </row>
    <row r="195" spans="1:13" ht="18.75" x14ac:dyDescent="0.3">
      <c r="A195" s="220" t="s">
        <v>505</v>
      </c>
    </row>
    <row r="196" spans="1:13" ht="15.75" thickBot="1" x14ac:dyDescent="0.3"/>
    <row r="197" spans="1:13" ht="15.75" thickBot="1" x14ac:dyDescent="0.3">
      <c r="B197" s="34"/>
      <c r="C197" s="35" t="s">
        <v>12</v>
      </c>
      <c r="D197" s="36"/>
      <c r="E197" s="36"/>
      <c r="F197" s="36"/>
      <c r="G197" s="36"/>
      <c r="H197" s="35" t="s">
        <v>13</v>
      </c>
      <c r="I197" s="36"/>
      <c r="J197" s="36"/>
      <c r="K197" s="36"/>
      <c r="L197" s="37"/>
      <c r="M197" s="34"/>
    </row>
    <row r="198" spans="1:13" x14ac:dyDescent="0.25">
      <c r="B198" s="7" t="s">
        <v>9</v>
      </c>
      <c r="C198" s="38" t="s">
        <v>10</v>
      </c>
      <c r="D198" s="39"/>
      <c r="E198" s="39"/>
      <c r="F198" s="39"/>
      <c r="G198" s="40"/>
      <c r="H198" s="38" t="s">
        <v>10</v>
      </c>
      <c r="I198" s="39"/>
      <c r="J198" s="39"/>
      <c r="K198" s="39"/>
      <c r="L198" s="40"/>
      <c r="M198" s="7" t="s">
        <v>9</v>
      </c>
    </row>
    <row r="199" spans="1:13" ht="15.75" thickBot="1" x14ac:dyDescent="0.3">
      <c r="B199" s="8" t="s">
        <v>11</v>
      </c>
      <c r="C199" s="15">
        <v>700</v>
      </c>
      <c r="D199" s="16">
        <v>900</v>
      </c>
      <c r="E199" s="16">
        <v>1220</v>
      </c>
      <c r="F199" s="16">
        <v>1500</v>
      </c>
      <c r="G199" s="17">
        <v>1820</v>
      </c>
      <c r="H199" s="15">
        <v>700</v>
      </c>
      <c r="I199" s="16">
        <v>900</v>
      </c>
      <c r="J199" s="16">
        <v>1220</v>
      </c>
      <c r="K199" s="16">
        <v>1500</v>
      </c>
      <c r="L199" s="17">
        <v>1820</v>
      </c>
      <c r="M199" s="8" t="s">
        <v>11</v>
      </c>
    </row>
    <row r="200" spans="1:13" x14ac:dyDescent="0.25">
      <c r="B200" s="9">
        <v>450</v>
      </c>
      <c r="C200" s="185">
        <v>255</v>
      </c>
      <c r="D200" s="186">
        <v>333</v>
      </c>
      <c r="E200" s="186">
        <v>462</v>
      </c>
      <c r="F200" s="186">
        <v>581</v>
      </c>
      <c r="G200" s="187">
        <v>725</v>
      </c>
      <c r="H200" s="185">
        <v>255</v>
      </c>
      <c r="I200" s="186">
        <v>333</v>
      </c>
      <c r="J200" s="186">
        <v>462</v>
      </c>
      <c r="K200" s="186">
        <v>581</v>
      </c>
      <c r="L200" s="187">
        <v>725</v>
      </c>
      <c r="M200" s="9">
        <v>450</v>
      </c>
    </row>
    <row r="201" spans="1:13" x14ac:dyDescent="0.25">
      <c r="B201" s="168">
        <v>500</v>
      </c>
      <c r="C201" s="214">
        <v>280</v>
      </c>
      <c r="D201" s="215">
        <v>365</v>
      </c>
      <c r="E201" s="215">
        <v>507</v>
      </c>
      <c r="F201" s="215">
        <v>638</v>
      </c>
      <c r="G201" s="216">
        <v>795</v>
      </c>
      <c r="H201" s="214">
        <v>280</v>
      </c>
      <c r="I201" s="215">
        <v>365</v>
      </c>
      <c r="J201" s="215">
        <v>507</v>
      </c>
      <c r="K201" s="215">
        <v>638</v>
      </c>
      <c r="L201" s="216">
        <v>795</v>
      </c>
      <c r="M201" s="168">
        <v>500</v>
      </c>
    </row>
    <row r="202" spans="1:13" x14ac:dyDescent="0.25">
      <c r="B202" s="10">
        <v>600</v>
      </c>
      <c r="C202" s="179">
        <v>329</v>
      </c>
      <c r="D202" s="180">
        <v>429</v>
      </c>
      <c r="E202" s="180">
        <v>596</v>
      </c>
      <c r="F202" s="180">
        <v>750</v>
      </c>
      <c r="G202" s="181">
        <v>934</v>
      </c>
      <c r="H202" s="179">
        <v>329</v>
      </c>
      <c r="I202" s="180">
        <v>429</v>
      </c>
      <c r="J202" s="180">
        <v>596</v>
      </c>
      <c r="K202" s="180">
        <v>750</v>
      </c>
      <c r="L202" s="181">
        <v>934</v>
      </c>
      <c r="M202" s="10">
        <v>600</v>
      </c>
    </row>
    <row r="203" spans="1:13" ht="15.75" thickBot="1" x14ac:dyDescent="0.3">
      <c r="B203" s="11">
        <v>750</v>
      </c>
      <c r="C203" s="191">
        <v>400</v>
      </c>
      <c r="D203" s="192">
        <v>522</v>
      </c>
      <c r="E203" s="192">
        <v>726</v>
      </c>
      <c r="F203" s="192">
        <v>913</v>
      </c>
      <c r="G203" s="193">
        <v>1138</v>
      </c>
      <c r="H203" s="191">
        <v>400</v>
      </c>
      <c r="I203" s="192">
        <v>522</v>
      </c>
      <c r="J203" s="192">
        <v>726</v>
      </c>
      <c r="K203" s="192">
        <v>913</v>
      </c>
      <c r="L203" s="193">
        <v>1138</v>
      </c>
      <c r="M203" s="11">
        <v>750</v>
      </c>
    </row>
    <row r="204" spans="1:13" ht="15.75" thickBot="1" x14ac:dyDescent="0.3">
      <c r="B204" s="177"/>
      <c r="C204" s="177"/>
      <c r="D204" s="177"/>
      <c r="E204" s="177"/>
      <c r="F204" s="177"/>
      <c r="G204" s="177"/>
      <c r="H204" s="177"/>
      <c r="I204" s="177"/>
      <c r="J204" s="177"/>
      <c r="K204" s="177"/>
      <c r="L204" s="177"/>
      <c r="M204" s="177"/>
    </row>
    <row r="205" spans="1:13" ht="15.75" thickBot="1" x14ac:dyDescent="0.3">
      <c r="B205" s="177"/>
      <c r="C205" s="35" t="s">
        <v>12</v>
      </c>
      <c r="D205" s="36"/>
      <c r="E205" s="36"/>
      <c r="F205" s="36"/>
      <c r="G205" s="36"/>
      <c r="H205" s="35" t="s">
        <v>13</v>
      </c>
      <c r="I205" s="36"/>
      <c r="J205" s="36"/>
      <c r="K205" s="36"/>
      <c r="L205" s="37"/>
      <c r="M205" s="34"/>
    </row>
    <row r="206" spans="1:13" x14ac:dyDescent="0.25">
      <c r="B206" s="7" t="s">
        <v>9</v>
      </c>
      <c r="C206" s="38" t="s">
        <v>10</v>
      </c>
      <c r="D206" s="39"/>
      <c r="E206" s="39"/>
      <c r="F206" s="39"/>
      <c r="G206" s="40"/>
      <c r="H206" s="38" t="s">
        <v>10</v>
      </c>
      <c r="I206" s="39"/>
      <c r="J206" s="39"/>
      <c r="K206" s="39"/>
      <c r="L206" s="40"/>
      <c r="M206" s="7" t="s">
        <v>9</v>
      </c>
    </row>
    <row r="207" spans="1:13" ht="15.75" thickBot="1" x14ac:dyDescent="0.3">
      <c r="B207" s="8" t="s">
        <v>11</v>
      </c>
      <c r="C207" s="15">
        <v>700</v>
      </c>
      <c r="D207" s="16">
        <v>900</v>
      </c>
      <c r="E207" s="16">
        <v>1220</v>
      </c>
      <c r="F207" s="16">
        <v>1500</v>
      </c>
      <c r="G207" s="17">
        <v>1820</v>
      </c>
      <c r="H207" s="15">
        <v>700</v>
      </c>
      <c r="I207" s="16">
        <v>900</v>
      </c>
      <c r="J207" s="16">
        <v>1220</v>
      </c>
      <c r="K207" s="16">
        <v>1500</v>
      </c>
      <c r="L207" s="17">
        <v>1820</v>
      </c>
      <c r="M207" s="8" t="s">
        <v>11</v>
      </c>
    </row>
    <row r="208" spans="1:13" x14ac:dyDescent="0.25">
      <c r="B208" s="9">
        <v>450</v>
      </c>
      <c r="C208" s="182">
        <v>1.2225999999999999</v>
      </c>
      <c r="D208" s="183">
        <v>1.2358</v>
      </c>
      <c r="E208" s="183">
        <v>1.2567999999999999</v>
      </c>
      <c r="F208" s="183">
        <v>1.2521</v>
      </c>
      <c r="G208" s="184">
        <v>1.2421</v>
      </c>
      <c r="H208" s="182">
        <v>1.2225999999999999</v>
      </c>
      <c r="I208" s="183">
        <v>1.2358</v>
      </c>
      <c r="J208" s="183">
        <v>1.2567999999999999</v>
      </c>
      <c r="K208" s="183">
        <v>1.2521</v>
      </c>
      <c r="L208" s="184">
        <v>1.2421</v>
      </c>
      <c r="M208" s="9">
        <v>450</v>
      </c>
    </row>
    <row r="209" spans="2:13" x14ac:dyDescent="0.25">
      <c r="B209" s="168">
        <v>500</v>
      </c>
      <c r="C209" s="219">
        <v>1.2225999999999999</v>
      </c>
      <c r="D209" s="217">
        <v>1.2346999999999999</v>
      </c>
      <c r="E209" s="217">
        <v>1.254</v>
      </c>
      <c r="F209" s="217">
        <v>1.2483</v>
      </c>
      <c r="G209" s="218">
        <v>1.2393000000000001</v>
      </c>
      <c r="H209" s="219">
        <v>1.2225999999999999</v>
      </c>
      <c r="I209" s="217">
        <v>1.2346999999999999</v>
      </c>
      <c r="J209" s="217">
        <v>1.254</v>
      </c>
      <c r="K209" s="217">
        <v>1.2483</v>
      </c>
      <c r="L209" s="218">
        <v>1.2393000000000001</v>
      </c>
      <c r="M209" s="168">
        <v>500</v>
      </c>
    </row>
    <row r="210" spans="2:13" x14ac:dyDescent="0.25">
      <c r="B210" s="10">
        <v>600</v>
      </c>
      <c r="C210" s="182">
        <v>1.2224999999999999</v>
      </c>
      <c r="D210" s="183">
        <v>1.2324999999999999</v>
      </c>
      <c r="E210" s="183">
        <v>1.2484</v>
      </c>
      <c r="F210" s="183">
        <v>1.2407999999999999</v>
      </c>
      <c r="G210" s="184">
        <v>1.2337</v>
      </c>
      <c r="H210" s="182">
        <v>1.2224999999999999</v>
      </c>
      <c r="I210" s="183">
        <v>1.2324999999999999</v>
      </c>
      <c r="J210" s="183">
        <v>1.2484</v>
      </c>
      <c r="K210" s="183">
        <v>1.2407999999999999</v>
      </c>
      <c r="L210" s="184">
        <v>1.2337</v>
      </c>
      <c r="M210" s="10">
        <v>600</v>
      </c>
    </row>
    <row r="211" spans="2:13" ht="15.75" thickBot="1" x14ac:dyDescent="0.3">
      <c r="B211" s="11">
        <v>750</v>
      </c>
      <c r="C211" s="188">
        <v>1.2223999999999999</v>
      </c>
      <c r="D211" s="189">
        <v>1.2292000000000001</v>
      </c>
      <c r="E211" s="189">
        <v>1.24</v>
      </c>
      <c r="F211" s="189">
        <v>1.2294</v>
      </c>
      <c r="G211" s="190">
        <v>1.2252000000000001</v>
      </c>
      <c r="H211" s="188">
        <v>1.2223999999999999</v>
      </c>
      <c r="I211" s="189">
        <v>1.2292000000000001</v>
      </c>
      <c r="J211" s="189">
        <v>1.24</v>
      </c>
      <c r="K211" s="189">
        <v>1.2294</v>
      </c>
      <c r="L211" s="190">
        <v>1.2252000000000001</v>
      </c>
      <c r="M211" s="11">
        <v>750</v>
      </c>
    </row>
    <row r="212" spans="2:13" ht="15.75" thickBot="1" x14ac:dyDescent="0.3">
      <c r="B212" s="34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</row>
    <row r="213" spans="2:13" ht="15.75" thickBot="1" x14ac:dyDescent="0.3">
      <c r="B213" s="34"/>
      <c r="C213" s="35" t="s">
        <v>14</v>
      </c>
      <c r="D213" s="36"/>
      <c r="E213" s="36"/>
      <c r="F213" s="36"/>
      <c r="G213" s="36"/>
      <c r="H213" s="35" t="s">
        <v>15</v>
      </c>
      <c r="I213" s="36"/>
      <c r="J213" s="36"/>
      <c r="K213" s="36"/>
      <c r="L213" s="37"/>
      <c r="M213" s="34"/>
    </row>
    <row r="214" spans="2:13" x14ac:dyDescent="0.25">
      <c r="B214" s="7" t="s">
        <v>9</v>
      </c>
      <c r="C214" s="38" t="s">
        <v>10</v>
      </c>
      <c r="D214" s="39"/>
      <c r="E214" s="39"/>
      <c r="F214" s="39"/>
      <c r="G214" s="40"/>
      <c r="H214" s="38" t="s">
        <v>10</v>
      </c>
      <c r="I214" s="39"/>
      <c r="J214" s="39"/>
      <c r="K214" s="39"/>
      <c r="L214" s="40"/>
      <c r="M214" s="7" t="s">
        <v>9</v>
      </c>
    </row>
    <row r="215" spans="2:13" ht="15.75" thickBot="1" x14ac:dyDescent="0.3">
      <c r="B215" s="8" t="s">
        <v>11</v>
      </c>
      <c r="C215" s="15">
        <v>700</v>
      </c>
      <c r="D215" s="16">
        <v>900</v>
      </c>
      <c r="E215" s="16">
        <v>1220</v>
      </c>
      <c r="F215" s="16">
        <v>1500</v>
      </c>
      <c r="G215" s="17">
        <v>1820</v>
      </c>
      <c r="H215" s="15">
        <v>700</v>
      </c>
      <c r="I215" s="16">
        <v>900</v>
      </c>
      <c r="J215" s="16">
        <v>1220</v>
      </c>
      <c r="K215" s="16">
        <v>1500</v>
      </c>
      <c r="L215" s="17">
        <v>1820</v>
      </c>
      <c r="M215" s="8" t="s">
        <v>11</v>
      </c>
    </row>
    <row r="216" spans="2:13" x14ac:dyDescent="0.25">
      <c r="B216" s="9">
        <v>450</v>
      </c>
      <c r="C216" s="185">
        <v>255</v>
      </c>
      <c r="D216" s="186">
        <v>333</v>
      </c>
      <c r="E216" s="186">
        <v>462</v>
      </c>
      <c r="F216" s="186">
        <v>581</v>
      </c>
      <c r="G216" s="187">
        <v>725</v>
      </c>
      <c r="H216" s="185">
        <v>255</v>
      </c>
      <c r="I216" s="186">
        <v>333</v>
      </c>
      <c r="J216" s="186">
        <v>462</v>
      </c>
      <c r="K216" s="186">
        <v>581</v>
      </c>
      <c r="L216" s="187">
        <v>725</v>
      </c>
      <c r="M216" s="9">
        <v>450</v>
      </c>
    </row>
    <row r="217" spans="2:13" x14ac:dyDescent="0.25">
      <c r="B217" s="168">
        <v>500</v>
      </c>
      <c r="C217" s="214">
        <v>280</v>
      </c>
      <c r="D217" s="215">
        <v>365</v>
      </c>
      <c r="E217" s="215">
        <v>507</v>
      </c>
      <c r="F217" s="215">
        <v>638</v>
      </c>
      <c r="G217" s="216">
        <v>795</v>
      </c>
      <c r="H217" s="214">
        <v>280</v>
      </c>
      <c r="I217" s="215">
        <v>365</v>
      </c>
      <c r="J217" s="215">
        <v>507</v>
      </c>
      <c r="K217" s="215">
        <v>638</v>
      </c>
      <c r="L217" s="216">
        <v>795</v>
      </c>
      <c r="M217" s="168">
        <v>500</v>
      </c>
    </row>
    <row r="218" spans="2:13" x14ac:dyDescent="0.25">
      <c r="B218" s="10">
        <v>600</v>
      </c>
      <c r="C218" s="179">
        <v>329</v>
      </c>
      <c r="D218" s="180">
        <v>429</v>
      </c>
      <c r="E218" s="180">
        <v>596</v>
      </c>
      <c r="F218" s="180">
        <v>750</v>
      </c>
      <c r="G218" s="181">
        <v>934</v>
      </c>
      <c r="H218" s="179">
        <v>329</v>
      </c>
      <c r="I218" s="180">
        <v>429</v>
      </c>
      <c r="J218" s="180">
        <v>596</v>
      </c>
      <c r="K218" s="180">
        <v>750</v>
      </c>
      <c r="L218" s="181">
        <v>934</v>
      </c>
      <c r="M218" s="10">
        <v>600</v>
      </c>
    </row>
    <row r="219" spans="2:13" ht="15.75" thickBot="1" x14ac:dyDescent="0.3">
      <c r="B219" s="11">
        <v>750</v>
      </c>
      <c r="C219" s="191">
        <v>400</v>
      </c>
      <c r="D219" s="192">
        <v>522</v>
      </c>
      <c r="E219" s="192">
        <v>726</v>
      </c>
      <c r="F219" s="192">
        <v>913</v>
      </c>
      <c r="G219" s="193">
        <v>1138</v>
      </c>
      <c r="H219" s="191">
        <v>400</v>
      </c>
      <c r="I219" s="192">
        <v>522</v>
      </c>
      <c r="J219" s="192">
        <v>726</v>
      </c>
      <c r="K219" s="192">
        <v>913</v>
      </c>
      <c r="L219" s="193">
        <v>1138</v>
      </c>
      <c r="M219" s="11">
        <v>750</v>
      </c>
    </row>
    <row r="220" spans="2:13" ht="15.75" thickBot="1" x14ac:dyDescent="0.3">
      <c r="B220" s="34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</row>
    <row r="221" spans="2:13" ht="15.75" thickBot="1" x14ac:dyDescent="0.3">
      <c r="B221" s="34"/>
      <c r="C221" s="35" t="s">
        <v>14</v>
      </c>
      <c r="D221" s="36"/>
      <c r="E221" s="36"/>
      <c r="F221" s="36"/>
      <c r="G221" s="36"/>
      <c r="H221" s="35" t="s">
        <v>15</v>
      </c>
      <c r="I221" s="36"/>
      <c r="J221" s="36"/>
      <c r="K221" s="36"/>
      <c r="L221" s="37"/>
      <c r="M221" s="34"/>
    </row>
    <row r="222" spans="2:13" x14ac:dyDescent="0.25">
      <c r="B222" s="7" t="s">
        <v>9</v>
      </c>
      <c r="C222" s="38" t="s">
        <v>10</v>
      </c>
      <c r="D222" s="39"/>
      <c r="E222" s="39"/>
      <c r="F222" s="39"/>
      <c r="G222" s="40"/>
      <c r="H222" s="38" t="s">
        <v>10</v>
      </c>
      <c r="I222" s="39"/>
      <c r="J222" s="39"/>
      <c r="K222" s="39"/>
      <c r="L222" s="40"/>
      <c r="M222" s="7" t="s">
        <v>9</v>
      </c>
    </row>
    <row r="223" spans="2:13" ht="15.75" thickBot="1" x14ac:dyDescent="0.3">
      <c r="B223" s="8" t="s">
        <v>11</v>
      </c>
      <c r="C223" s="15">
        <v>700</v>
      </c>
      <c r="D223" s="16">
        <v>900</v>
      </c>
      <c r="E223" s="16">
        <v>1220</v>
      </c>
      <c r="F223" s="16">
        <v>1500</v>
      </c>
      <c r="G223" s="17">
        <v>1820</v>
      </c>
      <c r="H223" s="15">
        <v>700</v>
      </c>
      <c r="I223" s="16">
        <v>900</v>
      </c>
      <c r="J223" s="16">
        <v>1220</v>
      </c>
      <c r="K223" s="16">
        <v>1500</v>
      </c>
      <c r="L223" s="17">
        <v>1820</v>
      </c>
      <c r="M223" s="8" t="s">
        <v>11</v>
      </c>
    </row>
    <row r="224" spans="2:13" x14ac:dyDescent="0.25">
      <c r="B224" s="9">
        <v>450</v>
      </c>
      <c r="C224" s="182">
        <v>1.2225999999999999</v>
      </c>
      <c r="D224" s="183">
        <v>1.2358</v>
      </c>
      <c r="E224" s="183">
        <v>1.2567999999999999</v>
      </c>
      <c r="F224" s="183">
        <v>1.2521</v>
      </c>
      <c r="G224" s="184">
        <v>1.2421</v>
      </c>
      <c r="H224" s="182">
        <v>1.2225999999999999</v>
      </c>
      <c r="I224" s="183">
        <v>1.2358</v>
      </c>
      <c r="J224" s="183">
        <v>1.2567999999999999</v>
      </c>
      <c r="K224" s="183">
        <v>1.2521</v>
      </c>
      <c r="L224" s="184">
        <v>1.2421</v>
      </c>
      <c r="M224" s="9">
        <v>450</v>
      </c>
    </row>
    <row r="225" spans="2:13" x14ac:dyDescent="0.25">
      <c r="B225" s="168">
        <v>500</v>
      </c>
      <c r="C225" s="219">
        <v>1.2225999999999999</v>
      </c>
      <c r="D225" s="217">
        <v>1.2346999999999999</v>
      </c>
      <c r="E225" s="217">
        <v>1.254</v>
      </c>
      <c r="F225" s="217">
        <v>1.2483</v>
      </c>
      <c r="G225" s="218">
        <v>1.2393000000000001</v>
      </c>
      <c r="H225" s="219">
        <v>1.2225999999999999</v>
      </c>
      <c r="I225" s="217">
        <v>1.2346999999999999</v>
      </c>
      <c r="J225" s="217">
        <v>1.254</v>
      </c>
      <c r="K225" s="217">
        <v>1.2483</v>
      </c>
      <c r="L225" s="218">
        <v>1.2393000000000001</v>
      </c>
      <c r="M225" s="168">
        <v>500</v>
      </c>
    </row>
    <row r="226" spans="2:13" x14ac:dyDescent="0.25">
      <c r="B226" s="10">
        <v>600</v>
      </c>
      <c r="C226" s="182">
        <v>1.2224999999999999</v>
      </c>
      <c r="D226" s="183">
        <v>1.2324999999999999</v>
      </c>
      <c r="E226" s="183">
        <v>1.2484</v>
      </c>
      <c r="F226" s="183">
        <v>1.2407999999999999</v>
      </c>
      <c r="G226" s="184">
        <v>1.2337</v>
      </c>
      <c r="H226" s="182">
        <v>1.2224999999999999</v>
      </c>
      <c r="I226" s="183">
        <v>1.2324999999999999</v>
      </c>
      <c r="J226" s="183">
        <v>1.2484</v>
      </c>
      <c r="K226" s="183">
        <v>1.2407999999999999</v>
      </c>
      <c r="L226" s="184">
        <v>1.2337</v>
      </c>
      <c r="M226" s="10">
        <v>600</v>
      </c>
    </row>
    <row r="227" spans="2:13" ht="15.75" thickBot="1" x14ac:dyDescent="0.3">
      <c r="B227" s="11">
        <v>750</v>
      </c>
      <c r="C227" s="188">
        <v>1.2223999999999999</v>
      </c>
      <c r="D227" s="189">
        <v>1.2292000000000001</v>
      </c>
      <c r="E227" s="189">
        <v>1.24</v>
      </c>
      <c r="F227" s="189">
        <v>1.2294</v>
      </c>
      <c r="G227" s="190">
        <v>1.2252000000000001</v>
      </c>
      <c r="H227" s="188">
        <v>1.2223999999999999</v>
      </c>
      <c r="I227" s="189">
        <v>1.2292000000000001</v>
      </c>
      <c r="J227" s="189">
        <v>1.24</v>
      </c>
      <c r="K227" s="189">
        <v>1.2294</v>
      </c>
      <c r="L227" s="190">
        <v>1.2252000000000001</v>
      </c>
      <c r="M227" s="11">
        <v>750</v>
      </c>
    </row>
  </sheetData>
  <printOptions horizontalCentered="1"/>
  <pageMargins left="0.39370078740157483" right="0.39370078740157483" top="0.39370078740157483" bottom="0.39370078740157483" header="0.31496062992125984" footer="0.19685039370078741"/>
  <pageSetup paperSize="9" scale="89" orientation="portrait" r:id="rId1"/>
  <headerFooter>
    <oddFooter>&amp;L&amp;"-,Kurzíva"&amp;8Vypracoval: Marketing VN, &amp;D, &amp;T&amp;R&amp;"-,Kurzíva"&amp;8&amp;F, 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ogic">
    <tabColor rgb="FFFFC000"/>
  </sheetPr>
  <dimension ref="A1:AH106"/>
  <sheetViews>
    <sheetView topLeftCell="A2" zoomScaleNormal="100" workbookViewId="0">
      <selection activeCell="A2" sqref="A2"/>
    </sheetView>
  </sheetViews>
  <sheetFormatPr defaultRowHeight="15" x14ac:dyDescent="0.25"/>
  <cols>
    <col min="2" max="2" width="18.5703125" style="49" bestFit="1" customWidth="1"/>
    <col min="7" max="7" width="11.28515625" customWidth="1"/>
    <col min="8" max="8" width="10.28515625" bestFit="1" customWidth="1"/>
    <col min="11" max="11" width="10.28515625" bestFit="1" customWidth="1"/>
    <col min="25" max="25" width="24.5703125" bestFit="1" customWidth="1"/>
  </cols>
  <sheetData>
    <row r="1" spans="1:34" hidden="1" x14ac:dyDescent="0.25">
      <c r="A1" s="132" t="s">
        <v>731</v>
      </c>
      <c r="B1" s="49" t="s">
        <v>1</v>
      </c>
    </row>
    <row r="2" spans="1:34" x14ac:dyDescent="0.25">
      <c r="G2" s="55" t="s">
        <v>133</v>
      </c>
      <c r="U2" s="130" t="s">
        <v>477</v>
      </c>
    </row>
    <row r="3" spans="1:34" x14ac:dyDescent="0.25">
      <c r="A3" t="s">
        <v>5</v>
      </c>
      <c r="G3">
        <v>1</v>
      </c>
      <c r="H3">
        <f>G3+1</f>
        <v>2</v>
      </c>
      <c r="I3">
        <f t="shared" ref="I3:V3" si="0">H3+1</f>
        <v>3</v>
      </c>
      <c r="J3">
        <f t="shared" si="0"/>
        <v>4</v>
      </c>
      <c r="K3">
        <f t="shared" si="0"/>
        <v>5</v>
      </c>
      <c r="L3">
        <f t="shared" si="0"/>
        <v>6</v>
      </c>
      <c r="M3">
        <f t="shared" si="0"/>
        <v>7</v>
      </c>
      <c r="N3">
        <f t="shared" si="0"/>
        <v>8</v>
      </c>
      <c r="O3">
        <f t="shared" si="0"/>
        <v>9</v>
      </c>
      <c r="P3">
        <f t="shared" si="0"/>
        <v>10</v>
      </c>
      <c r="Q3">
        <f t="shared" si="0"/>
        <v>11</v>
      </c>
      <c r="R3">
        <f t="shared" si="0"/>
        <v>12</v>
      </c>
      <c r="S3">
        <f t="shared" si="0"/>
        <v>13</v>
      </c>
      <c r="T3">
        <f t="shared" si="0"/>
        <v>14</v>
      </c>
      <c r="U3">
        <f t="shared" si="0"/>
        <v>15</v>
      </c>
      <c r="V3">
        <f t="shared" si="0"/>
        <v>16</v>
      </c>
      <c r="W3">
        <f t="shared" ref="W3" si="1">V3+1</f>
        <v>17</v>
      </c>
      <c r="X3">
        <f t="shared" ref="X3:Y3" si="2">W3+1</f>
        <v>18</v>
      </c>
      <c r="Y3">
        <f t="shared" si="2"/>
        <v>19</v>
      </c>
      <c r="Z3">
        <f t="shared" ref="Z3" si="3">Y3+1</f>
        <v>20</v>
      </c>
      <c r="AA3">
        <f t="shared" ref="AA3" si="4">Z3+1</f>
        <v>21</v>
      </c>
      <c r="AB3">
        <f t="shared" ref="AB3" si="5">AA3+1</f>
        <v>22</v>
      </c>
      <c r="AC3">
        <f t="shared" ref="AC3" si="6">AB3+1</f>
        <v>23</v>
      </c>
      <c r="AD3">
        <f t="shared" ref="AD3" si="7">AC3+1</f>
        <v>24</v>
      </c>
      <c r="AE3">
        <f t="shared" ref="AE3" si="8">AD3+1</f>
        <v>25</v>
      </c>
      <c r="AF3">
        <f t="shared" ref="AF3" si="9">AE3+1</f>
        <v>26</v>
      </c>
      <c r="AG3">
        <f t="shared" ref="AG3" si="10">AF3+1</f>
        <v>27</v>
      </c>
    </row>
    <row r="4" spans="1:34" x14ac:dyDescent="0.25">
      <c r="A4" s="50">
        <v>1</v>
      </c>
      <c r="B4" s="51" t="str">
        <f>VLOOKUP(A4,A5:B11,2,FALSE)</f>
        <v>всё</v>
      </c>
      <c r="G4" s="52">
        <v>5</v>
      </c>
      <c r="H4" s="254" t="str">
        <f>VLOOKUP($G4,$G5:H16,H3,FALSE)</f>
        <v>Русский</v>
      </c>
      <c r="I4" s="256" t="str">
        <f>VLOOKUP($G4,$G5:I16,I3)</f>
        <v>всё</v>
      </c>
      <c r="J4" s="254" t="str">
        <f>VLOOKUP($G4,$G5:J16,J3)</f>
        <v>Тепловые мощности согл. EN 442</v>
      </c>
      <c r="K4" s="254" t="str">
        <f>VLOOKUP($G4,$G5:K16,K3)</f>
        <v>Высота</v>
      </c>
      <c r="L4" s="254" t="str">
        <f>VLOOKUP($G4,$G5:L16,L3)</f>
        <v>Длина</v>
      </c>
      <c r="M4" s="254" t="str">
        <f>VLOOKUP($G4,$G5:M16,M3)</f>
        <v>от</v>
      </c>
      <c r="N4" s="254" t="str">
        <f>VLOOKUP($G4,$G5:N16,N3)</f>
        <v>до</v>
      </c>
      <c r="O4" s="254" t="str">
        <f>VLOOKUP($G4,$G5:O16,O3)</f>
        <v>Тепловая мощность</v>
      </c>
      <c r="P4" s="254" t="str">
        <f>VLOOKUP($G4,$G5:P16,P3)</f>
        <v>Температура</v>
      </c>
      <c r="Q4" s="254" t="str">
        <f>VLOOKUP($G4,$G5:Q16,Q3)</f>
        <v>Неправильный перепад температуры</v>
      </c>
      <c r="R4" s="254" t="str">
        <f>VLOOKUP($G4,$G5:R16,R3)</f>
        <v>Тип радиатора</v>
      </c>
      <c r="S4" s="254" t="str">
        <f>VLOOKUP($G4,$G5:S16,S3)</f>
        <v>Параметры</v>
      </c>
      <c r="T4" s="254" t="str">
        <f>VLOOKUP($G4,$G5:T16,T3)</f>
        <v>Неправильно заданые значения!!!</v>
      </c>
      <c r="U4" s="254" t="str">
        <f>VLOOKUP($G4,$G5:U16,U3)</f>
        <v>Способ подключения</v>
      </c>
      <c r="V4" s="254" t="str">
        <f>VLOOKUP($G4,$G5:V16,V3)</f>
        <v>Призводитель оставляет за собой право на изменения.</v>
      </c>
      <c r="W4" s="254" t="str">
        <f>VLOOKUP($G4,$G5:W16,W3)</f>
        <v>Данные действительны только для</v>
      </c>
      <c r="X4" s="254" t="str">
        <f>VLOOKUP($G4,$G5:X16,X3)</f>
        <v>Polska</v>
      </c>
      <c r="Y4" s="254" t="str">
        <f>VLOOKUP($G4,$G5:Y16,Y3)</f>
        <v>Jednostka ciepła:</v>
      </c>
      <c r="Z4" s="254" t="str">
        <f>VLOOKUP($G4,$G5:Z16,Z3)</f>
        <v>нижнее снизу вниз</v>
      </c>
      <c r="AA4" s="254" t="str">
        <f>VLOOKUP($G4,$G5:AA16,AA3)</f>
        <v>двустороннее сверху вниз</v>
      </c>
      <c r="AB4" s="254" t="str">
        <f>VLOOKUP($G4,$G5:AB16,AB3)</f>
        <v xml:space="preserve">Исполнение      </v>
      </c>
      <c r="AC4" s="254" t="str">
        <f>VLOOKUP($G4,$G5:AC16,AC3)</f>
        <v>Oтделка поверности</v>
      </c>
      <c r="AD4" s="254" t="str">
        <f>VLOOKUP($G4,$G5:AD16,AD3)</f>
        <v>КРАСКА</v>
      </c>
      <c r="AE4" s="254" t="str">
        <f>VLOOKUP($G4,$G5:AE16,AE3)</f>
        <v>ХРОМ</v>
      </c>
      <c r="AF4" s="254" t="str">
        <f>VLOOKUP($G4,$G5:AF18,AF3)</f>
        <v>Метрическая система</v>
      </c>
      <c r="AG4" s="254" t="str">
        <f>VLOOKUP($G4,$G5:AG18,AG3)</f>
        <v>Имперская система</v>
      </c>
    </row>
    <row r="5" spans="1:34" x14ac:dyDescent="0.25">
      <c r="A5">
        <v>1</v>
      </c>
      <c r="B5" s="49" t="str">
        <f>$I$4</f>
        <v>всё</v>
      </c>
      <c r="C5" t="s">
        <v>3</v>
      </c>
      <c r="G5" s="53">
        <v>1</v>
      </c>
      <c r="H5" s="249" t="s">
        <v>26</v>
      </c>
      <c r="I5" s="250" t="s">
        <v>3</v>
      </c>
      <c r="J5" s="249" t="s">
        <v>8</v>
      </c>
      <c r="K5" s="249" t="s">
        <v>27</v>
      </c>
      <c r="L5" s="249" t="s">
        <v>28</v>
      </c>
      <c r="M5" s="249" t="s">
        <v>29</v>
      </c>
      <c r="N5" s="249" t="s">
        <v>30</v>
      </c>
      <c r="O5" s="249" t="s">
        <v>77</v>
      </c>
      <c r="P5" s="249" t="s">
        <v>7</v>
      </c>
      <c r="Q5" s="249" t="s">
        <v>95</v>
      </c>
      <c r="R5" s="249" t="s">
        <v>0</v>
      </c>
      <c r="S5" s="249" t="s">
        <v>4</v>
      </c>
      <c r="T5" s="249" t="s">
        <v>96</v>
      </c>
      <c r="U5" s="249" t="s">
        <v>478</v>
      </c>
      <c r="V5" s="249" t="s">
        <v>205</v>
      </c>
      <c r="W5" s="249" t="s">
        <v>206</v>
      </c>
      <c r="X5" s="249" t="s">
        <v>655</v>
      </c>
      <c r="Y5" s="249" t="s">
        <v>487</v>
      </c>
      <c r="Z5" s="249" t="s">
        <v>488</v>
      </c>
      <c r="AA5" s="249" t="s">
        <v>202</v>
      </c>
      <c r="AB5" s="249" t="s">
        <v>482</v>
      </c>
      <c r="AC5" s="249" t="s">
        <v>481</v>
      </c>
      <c r="AD5" s="249" t="s">
        <v>486</v>
      </c>
      <c r="AE5" s="249" t="s">
        <v>485</v>
      </c>
      <c r="AF5" s="249" t="s">
        <v>612</v>
      </c>
      <c r="AG5" s="249" t="s">
        <v>613</v>
      </c>
      <c r="AH5" s="249"/>
    </row>
    <row r="6" spans="1:34" x14ac:dyDescent="0.25">
      <c r="A6">
        <v>2</v>
      </c>
      <c r="B6" s="222">
        <f>IF($K$64=2,C6/$M$64,C6)</f>
        <v>400</v>
      </c>
      <c r="C6">
        <v>400</v>
      </c>
      <c r="G6" s="53">
        <v>2</v>
      </c>
      <c r="H6" s="249" t="s">
        <v>610</v>
      </c>
      <c r="I6" s="250" t="s">
        <v>348</v>
      </c>
      <c r="J6" s="249" t="s">
        <v>252</v>
      </c>
      <c r="K6" s="249" t="s">
        <v>31</v>
      </c>
      <c r="L6" s="249" t="s">
        <v>32</v>
      </c>
      <c r="M6" s="249" t="s">
        <v>33</v>
      </c>
      <c r="N6" s="249" t="s">
        <v>34</v>
      </c>
      <c r="O6" s="249" t="s">
        <v>78</v>
      </c>
      <c r="P6" s="249" t="s">
        <v>79</v>
      </c>
      <c r="Q6" s="249" t="s">
        <v>97</v>
      </c>
      <c r="R6" s="249" t="s">
        <v>98</v>
      </c>
      <c r="S6" s="249" t="s">
        <v>99</v>
      </c>
      <c r="T6" s="249" t="s">
        <v>100</v>
      </c>
      <c r="U6" s="249" t="s">
        <v>250</v>
      </c>
      <c r="V6" s="249" t="s">
        <v>207</v>
      </c>
      <c r="W6" s="249" t="s">
        <v>208</v>
      </c>
      <c r="X6" s="249" t="s">
        <v>656</v>
      </c>
      <c r="Y6" s="249" t="s">
        <v>716</v>
      </c>
      <c r="Z6" s="249" t="s">
        <v>256</v>
      </c>
      <c r="AA6" s="249" t="s">
        <v>263</v>
      </c>
      <c r="AB6" s="249" t="s">
        <v>491</v>
      </c>
      <c r="AC6" s="249" t="s">
        <v>492</v>
      </c>
      <c r="AD6" s="249" t="s">
        <v>724</v>
      </c>
      <c r="AE6" s="249" t="s">
        <v>499</v>
      </c>
      <c r="AF6" s="249" t="s">
        <v>614</v>
      </c>
      <c r="AG6" s="249" t="s">
        <v>615</v>
      </c>
      <c r="AH6" s="249"/>
    </row>
    <row r="7" spans="1:34" x14ac:dyDescent="0.25">
      <c r="A7">
        <v>3</v>
      </c>
      <c r="B7" s="222">
        <f>IF($K$64=2,C7/$M$64,C7)</f>
        <v>450</v>
      </c>
      <c r="C7">
        <v>450</v>
      </c>
      <c r="G7" s="53">
        <v>3</v>
      </c>
      <c r="H7" s="249" t="s">
        <v>611</v>
      </c>
      <c r="I7" s="250" t="s">
        <v>51</v>
      </c>
      <c r="J7" s="249" t="s">
        <v>52</v>
      </c>
      <c r="K7" s="249" t="s">
        <v>53</v>
      </c>
      <c r="L7" s="249" t="s">
        <v>54</v>
      </c>
      <c r="M7" s="249" t="s">
        <v>55</v>
      </c>
      <c r="N7" s="249" t="s">
        <v>56</v>
      </c>
      <c r="O7" s="249" t="s">
        <v>86</v>
      </c>
      <c r="P7" s="249" t="s">
        <v>87</v>
      </c>
      <c r="Q7" s="249" t="s">
        <v>113</v>
      </c>
      <c r="R7" s="249" t="s">
        <v>114</v>
      </c>
      <c r="S7" s="249" t="s">
        <v>115</v>
      </c>
      <c r="T7" s="249" t="s">
        <v>116</v>
      </c>
      <c r="U7" s="253" t="s">
        <v>511</v>
      </c>
      <c r="V7" s="249" t="s">
        <v>512</v>
      </c>
      <c r="W7" s="249" t="s">
        <v>513</v>
      </c>
      <c r="X7" s="249" t="s">
        <v>657</v>
      </c>
      <c r="Y7" s="249" t="s">
        <v>514</v>
      </c>
      <c r="Z7" s="249" t="s">
        <v>515</v>
      </c>
      <c r="AA7" s="249" t="s">
        <v>516</v>
      </c>
      <c r="AB7" s="249" t="s">
        <v>517</v>
      </c>
      <c r="AC7" s="249" t="s">
        <v>518</v>
      </c>
      <c r="AD7" s="249" t="s">
        <v>519</v>
      </c>
      <c r="AE7" s="249" t="s">
        <v>499</v>
      </c>
      <c r="AF7" s="249" t="s">
        <v>616</v>
      </c>
      <c r="AG7" s="249" t="s">
        <v>617</v>
      </c>
      <c r="AH7" s="249"/>
    </row>
    <row r="8" spans="1:34" x14ac:dyDescent="0.25">
      <c r="A8">
        <v>4</v>
      </c>
      <c r="B8" s="222">
        <f>IF($K$64=2,C8/$M$64,C8)</f>
        <v>500</v>
      </c>
      <c r="C8">
        <v>500</v>
      </c>
      <c r="G8" s="53">
        <v>4</v>
      </c>
      <c r="H8" s="249" t="s">
        <v>644</v>
      </c>
      <c r="I8" s="250" t="s">
        <v>35</v>
      </c>
      <c r="J8" s="249" t="s">
        <v>36</v>
      </c>
      <c r="K8" s="249" t="s">
        <v>37</v>
      </c>
      <c r="L8" s="249" t="s">
        <v>38</v>
      </c>
      <c r="M8" s="249" t="s">
        <v>39</v>
      </c>
      <c r="N8" s="249" t="s">
        <v>40</v>
      </c>
      <c r="O8" s="249" t="s">
        <v>80</v>
      </c>
      <c r="P8" s="249" t="s">
        <v>81</v>
      </c>
      <c r="Q8" s="249" t="s">
        <v>101</v>
      </c>
      <c r="R8" s="249" t="s">
        <v>102</v>
      </c>
      <c r="S8" s="249" t="s">
        <v>103</v>
      </c>
      <c r="T8" s="249" t="s">
        <v>104</v>
      </c>
      <c r="U8" s="249" t="s">
        <v>251</v>
      </c>
      <c r="V8" s="249" t="s">
        <v>209</v>
      </c>
      <c r="W8" s="249" t="s">
        <v>210</v>
      </c>
      <c r="X8" s="249" t="s">
        <v>658</v>
      </c>
      <c r="Y8" s="249" t="s">
        <v>721</v>
      </c>
      <c r="Z8" s="249" t="s">
        <v>257</v>
      </c>
      <c r="AA8" s="249" t="s">
        <v>262</v>
      </c>
      <c r="AB8" s="249" t="s">
        <v>493</v>
      </c>
      <c r="AC8" s="249" t="s">
        <v>494</v>
      </c>
      <c r="AD8" s="249" t="s">
        <v>725</v>
      </c>
      <c r="AE8" s="249" t="s">
        <v>485</v>
      </c>
      <c r="AF8" s="249" t="s">
        <v>666</v>
      </c>
      <c r="AG8" s="249" t="s">
        <v>667</v>
      </c>
      <c r="AH8" s="249"/>
    </row>
    <row r="9" spans="1:34" x14ac:dyDescent="0.25">
      <c r="A9">
        <v>5</v>
      </c>
      <c r="B9" s="222">
        <f>IF($K$64=2,C9/$M$64,C9)</f>
        <v>600</v>
      </c>
      <c r="C9">
        <v>600</v>
      </c>
      <c r="G9" s="53">
        <v>5</v>
      </c>
      <c r="H9" s="259" t="s">
        <v>645</v>
      </c>
      <c r="I9" s="258" t="s">
        <v>41</v>
      </c>
      <c r="J9" s="259" t="s">
        <v>42</v>
      </c>
      <c r="K9" s="259" t="s">
        <v>43</v>
      </c>
      <c r="L9" s="259" t="s">
        <v>44</v>
      </c>
      <c r="M9" s="259" t="s">
        <v>45</v>
      </c>
      <c r="N9" s="259" t="s">
        <v>46</v>
      </c>
      <c r="O9" s="259" t="s">
        <v>82</v>
      </c>
      <c r="P9" s="259" t="s">
        <v>83</v>
      </c>
      <c r="Q9" s="259" t="s">
        <v>105</v>
      </c>
      <c r="R9" s="259" t="s">
        <v>106</v>
      </c>
      <c r="S9" s="259" t="s">
        <v>107</v>
      </c>
      <c r="T9" s="259" t="s">
        <v>108</v>
      </c>
      <c r="U9" s="259" t="s">
        <v>253</v>
      </c>
      <c r="V9" s="259" t="s">
        <v>211</v>
      </c>
      <c r="W9" s="259" t="s">
        <v>212</v>
      </c>
      <c r="X9" s="259" t="s">
        <v>659</v>
      </c>
      <c r="Y9" s="259" t="s">
        <v>720</v>
      </c>
      <c r="Z9" s="259" t="s">
        <v>258</v>
      </c>
      <c r="AA9" s="259" t="s">
        <v>261</v>
      </c>
      <c r="AB9" s="259" t="s">
        <v>507</v>
      </c>
      <c r="AC9" s="259" t="s">
        <v>508</v>
      </c>
      <c r="AD9" s="259" t="s">
        <v>726</v>
      </c>
      <c r="AE9" s="259" t="s">
        <v>500</v>
      </c>
      <c r="AF9" s="259" t="s">
        <v>668</v>
      </c>
      <c r="AG9" s="259" t="s">
        <v>669</v>
      </c>
      <c r="AH9" s="249"/>
    </row>
    <row r="10" spans="1:34" x14ac:dyDescent="0.25">
      <c r="A10">
        <v>6</v>
      </c>
      <c r="B10" s="222">
        <f>IF($K$64=2,C10/$M$64,C10)</f>
        <v>750</v>
      </c>
      <c r="C10">
        <v>750</v>
      </c>
      <c r="G10" s="53">
        <v>6</v>
      </c>
      <c r="H10" s="249" t="s">
        <v>646</v>
      </c>
      <c r="I10" s="250" t="s">
        <v>47</v>
      </c>
      <c r="J10" s="249" t="s">
        <v>48</v>
      </c>
      <c r="K10" s="249" t="s">
        <v>49</v>
      </c>
      <c r="L10" s="249" t="s">
        <v>50</v>
      </c>
      <c r="M10" s="249" t="s">
        <v>29</v>
      </c>
      <c r="N10" s="249" t="s">
        <v>30</v>
      </c>
      <c r="O10" s="249" t="s">
        <v>84</v>
      </c>
      <c r="P10" s="249" t="s">
        <v>85</v>
      </c>
      <c r="Q10" s="249" t="s">
        <v>109</v>
      </c>
      <c r="R10" s="249" t="s">
        <v>110</v>
      </c>
      <c r="S10" s="249" t="s">
        <v>111</v>
      </c>
      <c r="T10" s="249" t="s">
        <v>112</v>
      </c>
      <c r="U10" s="249" t="s">
        <v>254</v>
      </c>
      <c r="V10" s="249" t="s">
        <v>213</v>
      </c>
      <c r="W10" s="249" t="s">
        <v>214</v>
      </c>
      <c r="X10" s="249" t="s">
        <v>660</v>
      </c>
      <c r="Y10" s="249" t="s">
        <v>722</v>
      </c>
      <c r="Z10" s="249" t="s">
        <v>259</v>
      </c>
      <c r="AA10" s="249" t="s">
        <v>260</v>
      </c>
      <c r="AB10" s="249" t="s">
        <v>495</v>
      </c>
      <c r="AC10" s="249" t="s">
        <v>496</v>
      </c>
      <c r="AD10" s="249" t="s">
        <v>728</v>
      </c>
      <c r="AE10" s="249" t="s">
        <v>485</v>
      </c>
      <c r="AF10" s="249" t="s">
        <v>670</v>
      </c>
      <c r="AG10" s="249" t="s">
        <v>671</v>
      </c>
      <c r="AH10" s="249"/>
    </row>
    <row r="11" spans="1:34" x14ac:dyDescent="0.25">
      <c r="A11">
        <v>7</v>
      </c>
      <c r="G11" s="53">
        <v>7</v>
      </c>
      <c r="H11" s="249" t="s">
        <v>647</v>
      </c>
      <c r="I11" s="250" t="s">
        <v>57</v>
      </c>
      <c r="J11" s="249" t="s">
        <v>58</v>
      </c>
      <c r="K11" s="249" t="s">
        <v>59</v>
      </c>
      <c r="L11" s="249" t="s">
        <v>60</v>
      </c>
      <c r="M11" s="249" t="s">
        <v>653</v>
      </c>
      <c r="N11" s="249" t="s">
        <v>654</v>
      </c>
      <c r="O11" s="249" t="s">
        <v>88</v>
      </c>
      <c r="P11" s="249" t="s">
        <v>89</v>
      </c>
      <c r="Q11" s="249" t="s">
        <v>117</v>
      </c>
      <c r="R11" s="249" t="s">
        <v>118</v>
      </c>
      <c r="S11" s="249" t="s">
        <v>119</v>
      </c>
      <c r="T11" s="249" t="s">
        <v>120</v>
      </c>
      <c r="U11" s="253" t="s">
        <v>711</v>
      </c>
      <c r="V11" s="249" t="s">
        <v>215</v>
      </c>
      <c r="W11" s="249" t="s">
        <v>216</v>
      </c>
      <c r="X11" s="249" t="s">
        <v>661</v>
      </c>
      <c r="Y11" s="249" t="s">
        <v>717</v>
      </c>
      <c r="Z11" s="249" t="s">
        <v>712</v>
      </c>
      <c r="AA11" s="249" t="s">
        <v>713</v>
      </c>
      <c r="AB11" s="249" t="s">
        <v>714</v>
      </c>
      <c r="AC11" s="249" t="s">
        <v>520</v>
      </c>
      <c r="AD11" s="249" t="s">
        <v>715</v>
      </c>
      <c r="AE11" s="249" t="s">
        <v>499</v>
      </c>
      <c r="AF11" s="249" t="s">
        <v>672</v>
      </c>
      <c r="AG11" s="249" t="s">
        <v>673</v>
      </c>
      <c r="AH11" s="249"/>
    </row>
    <row r="12" spans="1:34" x14ac:dyDescent="0.25">
      <c r="G12" s="53">
        <v>8</v>
      </c>
      <c r="H12" s="255" t="s">
        <v>648</v>
      </c>
      <c r="I12" s="250" t="s">
        <v>61</v>
      </c>
      <c r="J12" s="249" t="s">
        <v>62</v>
      </c>
      <c r="K12" s="249" t="s">
        <v>63</v>
      </c>
      <c r="L12" s="249" t="s">
        <v>64</v>
      </c>
      <c r="M12" s="249" t="s">
        <v>65</v>
      </c>
      <c r="N12" s="249" t="s">
        <v>66</v>
      </c>
      <c r="O12" s="249" t="s">
        <v>90</v>
      </c>
      <c r="P12" s="249" t="s">
        <v>81</v>
      </c>
      <c r="Q12" s="249" t="s">
        <v>121</v>
      </c>
      <c r="R12" s="249" t="s">
        <v>122</v>
      </c>
      <c r="S12" s="249" t="s">
        <v>123</v>
      </c>
      <c r="T12" s="249" t="s">
        <v>124</v>
      </c>
      <c r="U12" s="251" t="s">
        <v>564</v>
      </c>
      <c r="V12" s="249" t="s">
        <v>218</v>
      </c>
      <c r="W12" s="249" t="s">
        <v>219</v>
      </c>
      <c r="X12" s="249" t="s">
        <v>662</v>
      </c>
      <c r="Y12" s="249" t="s">
        <v>718</v>
      </c>
      <c r="Z12" s="249" t="s">
        <v>565</v>
      </c>
      <c r="AA12" s="249" t="s">
        <v>566</v>
      </c>
      <c r="AB12" s="249" t="s">
        <v>491</v>
      </c>
      <c r="AC12" s="249" t="s">
        <v>510</v>
      </c>
      <c r="AD12" s="249" t="s">
        <v>727</v>
      </c>
      <c r="AE12" s="249" t="s">
        <v>567</v>
      </c>
      <c r="AF12" s="249" t="s">
        <v>674</v>
      </c>
      <c r="AG12" s="249" t="s">
        <v>675</v>
      </c>
      <c r="AH12" s="255"/>
    </row>
    <row r="13" spans="1:34" x14ac:dyDescent="0.25">
      <c r="A13" t="s">
        <v>24</v>
      </c>
      <c r="G13" s="53">
        <v>9</v>
      </c>
      <c r="H13" s="249" t="s">
        <v>649</v>
      </c>
      <c r="I13" s="250" t="s">
        <v>67</v>
      </c>
      <c r="J13" s="249" t="s">
        <v>68</v>
      </c>
      <c r="K13" s="249" t="s">
        <v>69</v>
      </c>
      <c r="L13" s="249" t="s">
        <v>70</v>
      </c>
      <c r="M13" s="249" t="s">
        <v>71</v>
      </c>
      <c r="N13" s="249" t="s">
        <v>72</v>
      </c>
      <c r="O13" s="249" t="s">
        <v>91</v>
      </c>
      <c r="P13" s="249" t="s">
        <v>92</v>
      </c>
      <c r="Q13" s="249" t="s">
        <v>125</v>
      </c>
      <c r="R13" s="249" t="s">
        <v>126</v>
      </c>
      <c r="S13" s="249" t="s">
        <v>127</v>
      </c>
      <c r="T13" s="249" t="s">
        <v>128</v>
      </c>
      <c r="U13" s="253" t="s">
        <v>709</v>
      </c>
      <c r="V13" s="249" t="s">
        <v>220</v>
      </c>
      <c r="W13" s="249" t="s">
        <v>221</v>
      </c>
      <c r="X13" s="249" t="s">
        <v>663</v>
      </c>
      <c r="Y13" s="249" t="s">
        <v>708</v>
      </c>
      <c r="Z13" s="249" t="s">
        <v>707</v>
      </c>
      <c r="AA13" s="249" t="s">
        <v>706</v>
      </c>
      <c r="AB13" s="249" t="s">
        <v>497</v>
      </c>
      <c r="AC13" s="249" t="s">
        <v>498</v>
      </c>
      <c r="AD13" s="249" t="s">
        <v>723</v>
      </c>
      <c r="AE13" s="249" t="s">
        <v>705</v>
      </c>
      <c r="AF13" s="249" t="s">
        <v>676</v>
      </c>
      <c r="AG13" s="249" t="s">
        <v>677</v>
      </c>
      <c r="AH13" s="249"/>
    </row>
    <row r="14" spans="1:34" x14ac:dyDescent="0.25">
      <c r="A14" s="50">
        <v>1</v>
      </c>
      <c r="B14" s="51" t="str">
        <f>VLOOKUP(A14,A15:B21,2,FALSE)</f>
        <v>всё</v>
      </c>
      <c r="G14" s="53">
        <v>10</v>
      </c>
      <c r="H14" s="249" t="s">
        <v>650</v>
      </c>
      <c r="I14" s="250" t="s">
        <v>73</v>
      </c>
      <c r="J14" s="249" t="s">
        <v>74</v>
      </c>
      <c r="K14" s="249" t="s">
        <v>75</v>
      </c>
      <c r="L14" s="249" t="s">
        <v>76</v>
      </c>
      <c r="M14" s="249" t="s">
        <v>45</v>
      </c>
      <c r="N14" s="249" t="s">
        <v>46</v>
      </c>
      <c r="O14" s="249" t="s">
        <v>93</v>
      </c>
      <c r="P14" s="249" t="s">
        <v>94</v>
      </c>
      <c r="Q14" s="249" t="s">
        <v>129</v>
      </c>
      <c r="R14" s="249" t="s">
        <v>130</v>
      </c>
      <c r="S14" s="249" t="s">
        <v>131</v>
      </c>
      <c r="T14" s="249" t="s">
        <v>132</v>
      </c>
      <c r="U14" s="249" t="s">
        <v>255</v>
      </c>
      <c r="V14" s="249" t="s">
        <v>222</v>
      </c>
      <c r="W14" s="249" t="s">
        <v>223</v>
      </c>
      <c r="X14" s="249" t="s">
        <v>664</v>
      </c>
      <c r="Y14" s="249" t="s">
        <v>603</v>
      </c>
      <c r="Z14" s="249" t="s">
        <v>264</v>
      </c>
      <c r="AA14" s="249" t="s">
        <v>265</v>
      </c>
      <c r="AB14" s="249" t="s">
        <v>604</v>
      </c>
      <c r="AC14" s="249" t="s">
        <v>605</v>
      </c>
      <c r="AD14" s="249" t="s">
        <v>606</v>
      </c>
      <c r="AE14" s="249" t="s">
        <v>500</v>
      </c>
      <c r="AF14" s="249" t="s">
        <v>678</v>
      </c>
      <c r="AG14" s="249" t="s">
        <v>679</v>
      </c>
      <c r="AH14" s="249"/>
    </row>
    <row r="15" spans="1:34" x14ac:dyDescent="0.25">
      <c r="A15">
        <v>1</v>
      </c>
      <c r="B15" s="49" t="str">
        <f>$I$4</f>
        <v>всё</v>
      </c>
      <c r="C15" t="s">
        <v>3</v>
      </c>
      <c r="G15" s="53">
        <v>11</v>
      </c>
      <c r="H15" s="249" t="s">
        <v>651</v>
      </c>
      <c r="I15" s="252" t="s">
        <v>35</v>
      </c>
      <c r="J15" s="251" t="s">
        <v>529</v>
      </c>
      <c r="K15" s="251" t="s">
        <v>530</v>
      </c>
      <c r="L15" s="251" t="s">
        <v>531</v>
      </c>
      <c r="M15" s="251" t="s">
        <v>532</v>
      </c>
      <c r="N15" s="251" t="s">
        <v>533</v>
      </c>
      <c r="O15" s="251" t="s">
        <v>534</v>
      </c>
      <c r="P15" s="251" t="s">
        <v>535</v>
      </c>
      <c r="Q15" s="251" t="s">
        <v>536</v>
      </c>
      <c r="R15" s="251" t="s">
        <v>537</v>
      </c>
      <c r="S15" s="251" t="s">
        <v>538</v>
      </c>
      <c r="T15" s="251" t="s">
        <v>539</v>
      </c>
      <c r="U15" s="251" t="s">
        <v>540</v>
      </c>
      <c r="V15" s="251" t="s">
        <v>541</v>
      </c>
      <c r="W15" s="251" t="s">
        <v>521</v>
      </c>
      <c r="X15" s="251" t="s">
        <v>522</v>
      </c>
      <c r="Y15" s="251" t="s">
        <v>523</v>
      </c>
      <c r="Z15" s="251" t="s">
        <v>524</v>
      </c>
      <c r="AA15" s="251" t="s">
        <v>525</v>
      </c>
      <c r="AB15" s="251" t="s">
        <v>542</v>
      </c>
      <c r="AC15" s="251" t="s">
        <v>526</v>
      </c>
      <c r="AD15" s="251" t="s">
        <v>527</v>
      </c>
      <c r="AE15" s="251" t="s">
        <v>528</v>
      </c>
      <c r="AF15" s="249" t="s">
        <v>680</v>
      </c>
      <c r="AG15" s="249" t="s">
        <v>681</v>
      </c>
      <c r="AH15" s="249"/>
    </row>
    <row r="16" spans="1:34" x14ac:dyDescent="0.25">
      <c r="A16">
        <v>2</v>
      </c>
      <c r="B16" s="222">
        <f>IF($K$64=2,C16/$M$64,C16)</f>
        <v>400</v>
      </c>
      <c r="C16">
        <v>400</v>
      </c>
      <c r="G16" s="53">
        <v>12</v>
      </c>
      <c r="H16" s="249" t="s">
        <v>652</v>
      </c>
      <c r="I16" s="250" t="s">
        <v>568</v>
      </c>
      <c r="J16" s="251" t="s">
        <v>569</v>
      </c>
      <c r="K16" s="251" t="s">
        <v>570</v>
      </c>
      <c r="L16" s="251" t="s">
        <v>571</v>
      </c>
      <c r="M16" s="251" t="s">
        <v>572</v>
      </c>
      <c r="N16" s="251" t="s">
        <v>573</v>
      </c>
      <c r="O16" s="251" t="s">
        <v>574</v>
      </c>
      <c r="P16" s="251" t="s">
        <v>575</v>
      </c>
      <c r="Q16" s="251" t="s">
        <v>576</v>
      </c>
      <c r="R16" s="251" t="s">
        <v>577</v>
      </c>
      <c r="S16" s="251" t="s">
        <v>578</v>
      </c>
      <c r="T16" s="251" t="s">
        <v>579</v>
      </c>
      <c r="U16" s="251" t="s">
        <v>580</v>
      </c>
      <c r="V16" s="251" t="s">
        <v>581</v>
      </c>
      <c r="W16" s="251" t="s">
        <v>582</v>
      </c>
      <c r="X16" s="251" t="s">
        <v>665</v>
      </c>
      <c r="Y16" s="251" t="s">
        <v>719</v>
      </c>
      <c r="Z16" s="251" t="s">
        <v>583</v>
      </c>
      <c r="AA16" s="251" t="s">
        <v>584</v>
      </c>
      <c r="AB16" s="251" t="s">
        <v>585</v>
      </c>
      <c r="AC16" s="249" t="s">
        <v>704</v>
      </c>
      <c r="AD16" s="251" t="s">
        <v>710</v>
      </c>
      <c r="AE16" s="251" t="s">
        <v>567</v>
      </c>
      <c r="AF16" s="249" t="s">
        <v>682</v>
      </c>
      <c r="AG16" s="249" t="s">
        <v>683</v>
      </c>
      <c r="AH16" s="249"/>
    </row>
    <row r="17" spans="1:34" x14ac:dyDescent="0.25">
      <c r="A17">
        <v>3</v>
      </c>
      <c r="B17" s="222">
        <f>IF($K$64=2,C17/$M$64,C17)</f>
        <v>450</v>
      </c>
      <c r="C17">
        <v>450</v>
      </c>
    </row>
    <row r="18" spans="1:34" x14ac:dyDescent="0.25">
      <c r="A18">
        <v>4</v>
      </c>
      <c r="B18" s="222">
        <f>IF($K$64=2,C18/$M$64,C18)</f>
        <v>500</v>
      </c>
      <c r="C18">
        <v>500</v>
      </c>
    </row>
    <row r="19" spans="1:34" x14ac:dyDescent="0.25">
      <c r="A19">
        <v>5</v>
      </c>
      <c r="B19" s="222">
        <f>IF($K$64=2,C19/$M$64,C19)</f>
        <v>600</v>
      </c>
      <c r="C19">
        <v>600</v>
      </c>
    </row>
    <row r="20" spans="1:34" x14ac:dyDescent="0.25">
      <c r="A20">
        <v>6</v>
      </c>
      <c r="B20" s="222">
        <f>IF($K$64=2,C20/$M$64,C20)</f>
        <v>750</v>
      </c>
      <c r="C20">
        <v>750</v>
      </c>
    </row>
    <row r="21" spans="1:34" x14ac:dyDescent="0.25">
      <c r="A21">
        <v>7</v>
      </c>
    </row>
    <row r="22" spans="1:34" x14ac:dyDescent="0.25">
      <c r="G22" s="55" t="s">
        <v>134</v>
      </c>
      <c r="I22" s="130" t="s">
        <v>489</v>
      </c>
      <c r="J22" s="130"/>
      <c r="K22" s="130" t="s">
        <v>457</v>
      </c>
      <c r="L22" s="130"/>
      <c r="M22" s="130" t="s">
        <v>490</v>
      </c>
      <c r="N22" s="130" t="s">
        <v>501</v>
      </c>
      <c r="O22" s="130" t="s">
        <v>503</v>
      </c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  <c r="AB22" s="130"/>
      <c r="AC22" s="130"/>
    </row>
    <row r="23" spans="1:34" x14ac:dyDescent="0.25">
      <c r="A23" t="s">
        <v>2</v>
      </c>
      <c r="G23" s="100">
        <f>G3</f>
        <v>1</v>
      </c>
      <c r="H23">
        <f>G23+1</f>
        <v>2</v>
      </c>
      <c r="I23">
        <f t="shared" ref="I23:V23" si="11">H23+1</f>
        <v>3</v>
      </c>
      <c r="J23">
        <f t="shared" si="11"/>
        <v>4</v>
      </c>
      <c r="K23">
        <f t="shared" si="11"/>
        <v>5</v>
      </c>
      <c r="L23">
        <f t="shared" si="11"/>
        <v>6</v>
      </c>
      <c r="M23">
        <f t="shared" si="11"/>
        <v>7</v>
      </c>
      <c r="N23">
        <f t="shared" si="11"/>
        <v>8</v>
      </c>
      <c r="O23">
        <f t="shared" si="11"/>
        <v>9</v>
      </c>
      <c r="P23">
        <f t="shared" si="11"/>
        <v>10</v>
      </c>
      <c r="Q23">
        <f t="shared" si="11"/>
        <v>11</v>
      </c>
      <c r="R23">
        <f t="shared" si="11"/>
        <v>12</v>
      </c>
      <c r="S23">
        <f t="shared" si="11"/>
        <v>13</v>
      </c>
      <c r="T23">
        <f t="shared" si="11"/>
        <v>14</v>
      </c>
      <c r="U23">
        <f t="shared" si="11"/>
        <v>15</v>
      </c>
      <c r="V23">
        <f t="shared" si="11"/>
        <v>16</v>
      </c>
      <c r="W23">
        <f t="shared" ref="W23" si="12">V23+1</f>
        <v>17</v>
      </c>
      <c r="X23">
        <f t="shared" ref="X23" si="13">W23+1</f>
        <v>18</v>
      </c>
      <c r="Y23">
        <f t="shared" ref="Y23" si="14">X23+1</f>
        <v>19</v>
      </c>
      <c r="Z23">
        <f t="shared" ref="Z23" si="15">Y23+1</f>
        <v>20</v>
      </c>
      <c r="AA23">
        <f t="shared" ref="AA23" si="16">Z23+1</f>
        <v>21</v>
      </c>
      <c r="AB23">
        <f t="shared" ref="AB23" si="17">AA23+1</f>
        <v>22</v>
      </c>
      <c r="AC23">
        <f t="shared" ref="AC23" si="18">AB23+1</f>
        <v>23</v>
      </c>
      <c r="AD23">
        <f t="shared" ref="AD23" si="19">AC23+1</f>
        <v>24</v>
      </c>
      <c r="AE23">
        <f t="shared" ref="AE23" si="20">AD23+1</f>
        <v>25</v>
      </c>
      <c r="AF23">
        <f t="shared" ref="AF23" si="21">AE23+1</f>
        <v>26</v>
      </c>
      <c r="AG23">
        <f>AF23+1</f>
        <v>27</v>
      </c>
      <c r="AH23">
        <f t="shared" ref="AH23" si="22">AG23+1</f>
        <v>28</v>
      </c>
    </row>
    <row r="24" spans="1:34" x14ac:dyDescent="0.25">
      <c r="A24" s="99">
        <v>1</v>
      </c>
      <c r="B24" s="51" t="str">
        <f>VLOOKUP(A24,A25:B31,2,FALSE)</f>
        <v>всё</v>
      </c>
      <c r="G24" s="52">
        <f>$G$4</f>
        <v>5</v>
      </c>
      <c r="H24" s="52" t="str">
        <f>VLOOKUP($G24,$G25:H38,H23)</f>
        <v>Русский</v>
      </c>
      <c r="I24" s="52" t="str">
        <f>VLOOKUP($G24,$G25:I38,I23)</f>
        <v>Добавить в базу данных</v>
      </c>
      <c r="J24" s="52" t="str">
        <f>VLOOKUP($G24,$G25:J38,J23)</f>
        <v>Хотите сбросить базу данных?</v>
      </c>
      <c r="K24" s="52" t="str">
        <f>VLOOKUP($G24,$G25:K38,K23)</f>
        <v>OK</v>
      </c>
      <c r="L24" s="52" t="str">
        <f>VLOOKUP($G24,$G25:L38,L23)</f>
        <v>Количество записей в базе данный:</v>
      </c>
      <c r="M24" s="52" t="str">
        <f>VLOOKUP($G24,$G25:M38,M23)</f>
        <v>Посмотреть базу данных</v>
      </c>
      <c r="N24" s="52" t="str">
        <f>VLOOKUP($G24,$G25:N38,N23)</f>
        <v>Вернуться на выбор</v>
      </c>
      <c r="O24" s="52" t="str">
        <f>VLOOKUP($G24,$G25:O38,O23)</f>
        <v>Перевод избранных типов</v>
      </c>
      <c r="P24" s="52" t="str">
        <f>VLOOKUP($G24,$G25:P38,P23)</f>
        <v>Цена (€)</v>
      </c>
      <c r="Q24" s="52" t="str">
        <f>VLOOKUP($G24,$G25:Q38,Q23)</f>
        <v>Номер</v>
      </c>
      <c r="R24" s="52" t="str">
        <f>VLOOKUP($G24,$G25:R38,R23)</f>
        <v>Модель</v>
      </c>
      <c r="S24" s="52" t="str">
        <f>VLOOKUP($G24,$G25:S38,S23)</f>
        <v>Код изделия</v>
      </c>
      <c r="T24" s="52" t="str">
        <f>VLOOKUP($G24,$G25:T38,T23)</f>
        <v>Тип</v>
      </c>
      <c r="U24" s="52" t="str">
        <f>VLOOKUP($G24,$G25:U38,U23)&amp;" ["&amp;$O$64&amp;"]"</f>
        <v>Высота [mm] [mm]</v>
      </c>
      <c r="V24" s="52" t="str">
        <f>VLOOKUP($G24,$G25:V38,V23)&amp;" ["&amp;$O$64&amp;"]"</f>
        <v>Длина [mm] [mm]</v>
      </c>
      <c r="W24" s="52" t="str">
        <f>VLOOKUP($G24,$G25:W38,W23)</f>
        <v>Т1</v>
      </c>
      <c r="X24" s="52" t="str">
        <f>VLOOKUP($G24,$G25:X38,X23)</f>
        <v>Т2</v>
      </c>
      <c r="Y24" s="52" t="str">
        <f>VLOOKUP($G24,$G25:Y38,Y23)</f>
        <v>ti</v>
      </c>
      <c r="Z24" s="52" t="str">
        <f>VLOOKUP($G24,$G25:Z38,Z23)</f>
        <v>Тепловая мощность</v>
      </c>
      <c r="AA24" s="52" t="str">
        <f>VLOOKUP($G24,$G25:AA38,AA23)</f>
        <v>Примечание</v>
      </c>
      <c r="AB24" s="52" t="str">
        <f>VLOOKUP($G24,$G25:AB38,AB23)</f>
        <v>Идентификация:</v>
      </c>
      <c r="AC24" s="52" t="str">
        <f>VLOOKUP($G24,$G25:AC38,AC23)</f>
        <v>В выбранной области имеется неправильная информация!!!</v>
      </c>
      <c r="AD24" s="52" t="str">
        <f>VLOOKUP($G24,$G25:AD38,AD23)</f>
        <v>OK</v>
      </c>
      <c r="AE24" s="52">
        <f>VLOOKUP($G24,$G25:AE39,AE23)</f>
        <v>0</v>
      </c>
      <c r="AF24" s="52">
        <f>VLOOKUP($G24,$G25:AF39,AF23)</f>
        <v>0</v>
      </c>
      <c r="AG24" s="52">
        <f>VLOOKUP($G24,$G25:AG39,AG23)</f>
        <v>0</v>
      </c>
      <c r="AH24" s="52">
        <f>VLOOKUP($G24,$G25:AH39,AH23)</f>
        <v>0</v>
      </c>
    </row>
    <row r="25" spans="1:34" x14ac:dyDescent="0.25">
      <c r="A25">
        <v>1</v>
      </c>
      <c r="B25" s="49" t="str">
        <f>$I$4</f>
        <v>всё</v>
      </c>
      <c r="C25" t="s">
        <v>3</v>
      </c>
      <c r="G25" s="53">
        <v>1</v>
      </c>
      <c r="H25" s="249" t="s">
        <v>26</v>
      </c>
      <c r="I25" s="250" t="s">
        <v>135</v>
      </c>
      <c r="J25" s="249" t="s">
        <v>145</v>
      </c>
      <c r="K25" s="249" t="s">
        <v>146</v>
      </c>
      <c r="L25" s="249" t="s">
        <v>147</v>
      </c>
      <c r="M25" s="249" t="s">
        <v>148</v>
      </c>
      <c r="N25" s="249" t="s">
        <v>149</v>
      </c>
      <c r="O25" s="249" t="s">
        <v>150</v>
      </c>
      <c r="P25" s="249" t="s">
        <v>151</v>
      </c>
      <c r="Q25" s="249" t="s">
        <v>273</v>
      </c>
      <c r="R25" s="249" t="s">
        <v>274</v>
      </c>
      <c r="S25" s="249" t="s">
        <v>275</v>
      </c>
      <c r="T25" s="249" t="s">
        <v>276</v>
      </c>
      <c r="U25" s="249" t="s">
        <v>690</v>
      </c>
      <c r="V25" s="249" t="s">
        <v>691</v>
      </c>
      <c r="W25" s="251" t="s">
        <v>277</v>
      </c>
      <c r="X25" s="251" t="s">
        <v>278</v>
      </c>
      <c r="Y25" s="251" t="s">
        <v>279</v>
      </c>
      <c r="Z25" s="249" t="s">
        <v>77</v>
      </c>
      <c r="AA25" s="251" t="s">
        <v>280</v>
      </c>
      <c r="AB25" s="251" t="s">
        <v>272</v>
      </c>
      <c r="AC25" s="251" t="s">
        <v>338</v>
      </c>
      <c r="AD25" s="249" t="s">
        <v>146</v>
      </c>
    </row>
    <row r="26" spans="1:34" x14ac:dyDescent="0.25">
      <c r="A26">
        <v>2</v>
      </c>
      <c r="B26" s="222">
        <f>IF($K$64=2,C26/$M$64,C26)</f>
        <v>700</v>
      </c>
      <c r="C26">
        <v>700</v>
      </c>
      <c r="G26" s="53">
        <v>2</v>
      </c>
      <c r="H26" s="249" t="s">
        <v>610</v>
      </c>
      <c r="I26" s="250" t="s">
        <v>136</v>
      </c>
      <c r="J26" s="249" t="s">
        <v>152</v>
      </c>
      <c r="K26" s="249" t="s">
        <v>146</v>
      </c>
      <c r="L26" s="249" t="s">
        <v>153</v>
      </c>
      <c r="M26" s="249" t="s">
        <v>154</v>
      </c>
      <c r="N26" s="249" t="s">
        <v>155</v>
      </c>
      <c r="O26" s="249" t="s">
        <v>156</v>
      </c>
      <c r="P26" s="249" t="s">
        <v>157</v>
      </c>
      <c r="Q26" s="249" t="s">
        <v>281</v>
      </c>
      <c r="R26" s="249" t="s">
        <v>274</v>
      </c>
      <c r="S26" s="249" t="s">
        <v>282</v>
      </c>
      <c r="T26" s="249" t="s">
        <v>283</v>
      </c>
      <c r="U26" s="249" t="s">
        <v>692</v>
      </c>
      <c r="V26" s="249" t="s">
        <v>693</v>
      </c>
      <c r="W26" s="251" t="s">
        <v>277</v>
      </c>
      <c r="X26" s="251" t="s">
        <v>278</v>
      </c>
      <c r="Y26" s="251" t="s">
        <v>279</v>
      </c>
      <c r="Z26" s="249" t="s">
        <v>78</v>
      </c>
      <c r="AA26" s="251" t="s">
        <v>284</v>
      </c>
      <c r="AB26" s="251" t="s">
        <v>285</v>
      </c>
      <c r="AC26" s="251" t="s">
        <v>339</v>
      </c>
      <c r="AD26" s="249" t="s">
        <v>146</v>
      </c>
    </row>
    <row r="27" spans="1:34" x14ac:dyDescent="0.25">
      <c r="A27">
        <v>3</v>
      </c>
      <c r="B27" s="222">
        <f>IF($K$64=2,C27/$M$64,C27)</f>
        <v>900</v>
      </c>
      <c r="C27">
        <v>900</v>
      </c>
      <c r="G27" s="53">
        <v>3</v>
      </c>
      <c r="H27" s="249" t="s">
        <v>611</v>
      </c>
      <c r="I27" s="250" t="s">
        <v>140</v>
      </c>
      <c r="J27" s="249" t="s">
        <v>174</v>
      </c>
      <c r="K27" s="249" t="s">
        <v>146</v>
      </c>
      <c r="L27" s="249" t="s">
        <v>175</v>
      </c>
      <c r="M27" s="249" t="s">
        <v>176</v>
      </c>
      <c r="N27" s="249" t="s">
        <v>177</v>
      </c>
      <c r="O27" s="249" t="s">
        <v>178</v>
      </c>
      <c r="P27" s="249" t="s">
        <v>684</v>
      </c>
      <c r="Q27" s="249" t="s">
        <v>281</v>
      </c>
      <c r="R27" s="249" t="s">
        <v>306</v>
      </c>
      <c r="S27" s="249" t="s">
        <v>307</v>
      </c>
      <c r="T27" s="249" t="s">
        <v>283</v>
      </c>
      <c r="U27" s="249" t="s">
        <v>694</v>
      </c>
      <c r="V27" s="249" t="s">
        <v>695</v>
      </c>
      <c r="W27" s="251" t="s">
        <v>277</v>
      </c>
      <c r="X27" s="251" t="s">
        <v>278</v>
      </c>
      <c r="Y27" s="251" t="s">
        <v>279</v>
      </c>
      <c r="Z27" s="249" t="s">
        <v>86</v>
      </c>
      <c r="AA27" s="251" t="s">
        <v>308</v>
      </c>
      <c r="AB27" s="251" t="s">
        <v>285</v>
      </c>
      <c r="AC27" s="251" t="s">
        <v>343</v>
      </c>
      <c r="AD27" s="249" t="s">
        <v>146</v>
      </c>
    </row>
    <row r="28" spans="1:34" x14ac:dyDescent="0.25">
      <c r="A28">
        <v>4</v>
      </c>
      <c r="B28" s="222">
        <f>IF($K$64=2,C28/$M$64,C28)</f>
        <v>1220</v>
      </c>
      <c r="C28">
        <v>1220</v>
      </c>
      <c r="G28" s="53">
        <v>4</v>
      </c>
      <c r="H28" s="249" t="s">
        <v>644</v>
      </c>
      <c r="I28" s="250" t="s">
        <v>137</v>
      </c>
      <c r="J28" s="249" t="s">
        <v>158</v>
      </c>
      <c r="K28" s="249" t="s">
        <v>146</v>
      </c>
      <c r="L28" s="249" t="s">
        <v>159</v>
      </c>
      <c r="M28" s="249" t="s">
        <v>160</v>
      </c>
      <c r="N28" s="249" t="s">
        <v>161</v>
      </c>
      <c r="O28" s="249" t="s">
        <v>162</v>
      </c>
      <c r="P28" s="249" t="s">
        <v>163</v>
      </c>
      <c r="Q28" s="249" t="s">
        <v>281</v>
      </c>
      <c r="R28" s="249" t="s">
        <v>286</v>
      </c>
      <c r="S28" s="249" t="s">
        <v>287</v>
      </c>
      <c r="T28" s="249" t="s">
        <v>288</v>
      </c>
      <c r="U28" s="249" t="s">
        <v>289</v>
      </c>
      <c r="V28" s="249" t="s">
        <v>290</v>
      </c>
      <c r="W28" s="251" t="s">
        <v>277</v>
      </c>
      <c r="X28" s="251" t="s">
        <v>278</v>
      </c>
      <c r="Y28" s="251" t="s">
        <v>279</v>
      </c>
      <c r="Z28" s="249" t="s">
        <v>80</v>
      </c>
      <c r="AA28" s="251" t="s">
        <v>291</v>
      </c>
      <c r="AB28" s="251" t="s">
        <v>292</v>
      </c>
      <c r="AC28" s="251" t="s">
        <v>340</v>
      </c>
      <c r="AD28" s="249" t="s">
        <v>146</v>
      </c>
    </row>
    <row r="29" spans="1:34" x14ac:dyDescent="0.25">
      <c r="A29">
        <v>5</v>
      </c>
      <c r="B29" s="222">
        <f>IF($K$64=2,C29/$M$64,C29)</f>
        <v>1500</v>
      </c>
      <c r="C29">
        <v>1500</v>
      </c>
      <c r="G29" s="53">
        <v>5</v>
      </c>
      <c r="H29" s="259" t="s">
        <v>645</v>
      </c>
      <c r="I29" s="258" t="s">
        <v>138</v>
      </c>
      <c r="J29" s="259" t="s">
        <v>730</v>
      </c>
      <c r="K29" s="259" t="s">
        <v>146</v>
      </c>
      <c r="L29" s="259" t="s">
        <v>164</v>
      </c>
      <c r="M29" s="259" t="s">
        <v>729</v>
      </c>
      <c r="N29" s="259" t="s">
        <v>165</v>
      </c>
      <c r="O29" s="259" t="s">
        <v>166</v>
      </c>
      <c r="P29" s="259" t="s">
        <v>167</v>
      </c>
      <c r="Q29" s="259" t="s">
        <v>327</v>
      </c>
      <c r="R29" s="259" t="s">
        <v>293</v>
      </c>
      <c r="S29" s="259" t="s">
        <v>294</v>
      </c>
      <c r="T29" s="259" t="s">
        <v>295</v>
      </c>
      <c r="U29" s="259" t="s">
        <v>696</v>
      </c>
      <c r="V29" s="259" t="s">
        <v>697</v>
      </c>
      <c r="W29" s="260" t="s">
        <v>296</v>
      </c>
      <c r="X29" s="260" t="s">
        <v>297</v>
      </c>
      <c r="Y29" s="260" t="s">
        <v>279</v>
      </c>
      <c r="Z29" s="259" t="s">
        <v>82</v>
      </c>
      <c r="AA29" s="260" t="s">
        <v>298</v>
      </c>
      <c r="AB29" s="260" t="s">
        <v>299</v>
      </c>
      <c r="AC29" s="260" t="s">
        <v>341</v>
      </c>
      <c r="AD29" s="249" t="s">
        <v>146</v>
      </c>
    </row>
    <row r="30" spans="1:34" x14ac:dyDescent="0.25">
      <c r="A30">
        <v>6</v>
      </c>
      <c r="B30" s="222">
        <f>IF($K$64=2,C30/$M$64,C30)</f>
        <v>1820</v>
      </c>
      <c r="C30">
        <v>1820</v>
      </c>
      <c r="G30" s="53">
        <v>6</v>
      </c>
      <c r="H30" s="249" t="s">
        <v>646</v>
      </c>
      <c r="I30" s="250" t="s">
        <v>139</v>
      </c>
      <c r="J30" s="249" t="s">
        <v>168</v>
      </c>
      <c r="K30" s="249" t="s">
        <v>146</v>
      </c>
      <c r="L30" s="249" t="s">
        <v>169</v>
      </c>
      <c r="M30" s="249" t="s">
        <v>170</v>
      </c>
      <c r="N30" s="249" t="s">
        <v>171</v>
      </c>
      <c r="O30" s="249" t="s">
        <v>172</v>
      </c>
      <c r="P30" s="249" t="s">
        <v>173</v>
      </c>
      <c r="Q30" s="249" t="s">
        <v>300</v>
      </c>
      <c r="R30" s="249" t="s">
        <v>274</v>
      </c>
      <c r="S30" s="249" t="s">
        <v>301</v>
      </c>
      <c r="T30" s="249" t="s">
        <v>276</v>
      </c>
      <c r="U30" s="249" t="s">
        <v>302</v>
      </c>
      <c r="V30" s="249" t="s">
        <v>303</v>
      </c>
      <c r="W30" s="251" t="s">
        <v>277</v>
      </c>
      <c r="X30" s="251" t="s">
        <v>278</v>
      </c>
      <c r="Y30" s="251" t="s">
        <v>279</v>
      </c>
      <c r="Z30" s="249" t="s">
        <v>333</v>
      </c>
      <c r="AA30" s="251" t="s">
        <v>304</v>
      </c>
      <c r="AB30" s="251" t="s">
        <v>305</v>
      </c>
      <c r="AC30" s="251" t="s">
        <v>342</v>
      </c>
      <c r="AD30" s="249" t="s">
        <v>146</v>
      </c>
    </row>
    <row r="31" spans="1:34" x14ac:dyDescent="0.25">
      <c r="A31">
        <v>7</v>
      </c>
      <c r="G31" s="53">
        <v>7</v>
      </c>
      <c r="H31" s="249" t="s">
        <v>647</v>
      </c>
      <c r="I31" s="250" t="s">
        <v>141</v>
      </c>
      <c r="J31" s="249" t="s">
        <v>179</v>
      </c>
      <c r="K31" s="249" t="s">
        <v>146</v>
      </c>
      <c r="L31" s="249" t="s">
        <v>180</v>
      </c>
      <c r="M31" s="249" t="s">
        <v>181</v>
      </c>
      <c r="N31" s="249" t="s">
        <v>182</v>
      </c>
      <c r="O31" s="249" t="s">
        <v>183</v>
      </c>
      <c r="P31" s="249" t="s">
        <v>685</v>
      </c>
      <c r="Q31" s="249" t="s">
        <v>309</v>
      </c>
      <c r="R31" s="249" t="s">
        <v>286</v>
      </c>
      <c r="S31" s="249" t="s">
        <v>310</v>
      </c>
      <c r="T31" s="249" t="s">
        <v>311</v>
      </c>
      <c r="U31" s="249" t="s">
        <v>312</v>
      </c>
      <c r="V31" s="249" t="s">
        <v>313</v>
      </c>
      <c r="W31" s="251" t="s">
        <v>277</v>
      </c>
      <c r="X31" s="251" t="s">
        <v>278</v>
      </c>
      <c r="Y31" s="251" t="s">
        <v>279</v>
      </c>
      <c r="Z31" s="249" t="s">
        <v>88</v>
      </c>
      <c r="AA31" s="251" t="s">
        <v>314</v>
      </c>
      <c r="AB31" s="251" t="s">
        <v>315</v>
      </c>
      <c r="AC31" s="251" t="s">
        <v>344</v>
      </c>
      <c r="AD31" s="249" t="s">
        <v>146</v>
      </c>
    </row>
    <row r="32" spans="1:34" x14ac:dyDescent="0.25">
      <c r="G32" s="53">
        <v>8</v>
      </c>
      <c r="H32" s="255" t="s">
        <v>648</v>
      </c>
      <c r="I32" s="250" t="s">
        <v>142</v>
      </c>
      <c r="J32" s="249" t="s">
        <v>184</v>
      </c>
      <c r="K32" s="249" t="s">
        <v>146</v>
      </c>
      <c r="L32" s="249" t="s">
        <v>185</v>
      </c>
      <c r="M32" s="249" t="s">
        <v>186</v>
      </c>
      <c r="N32" s="249" t="s">
        <v>187</v>
      </c>
      <c r="O32" s="249" t="s">
        <v>188</v>
      </c>
      <c r="P32" s="249" t="s">
        <v>686</v>
      </c>
      <c r="Q32" s="249" t="s">
        <v>316</v>
      </c>
      <c r="R32" s="249" t="s">
        <v>274</v>
      </c>
      <c r="S32" s="249" t="s">
        <v>317</v>
      </c>
      <c r="T32" s="249" t="s">
        <v>288</v>
      </c>
      <c r="U32" s="249" t="s">
        <v>698</v>
      </c>
      <c r="V32" s="249" t="s">
        <v>699</v>
      </c>
      <c r="W32" s="251" t="s">
        <v>277</v>
      </c>
      <c r="X32" s="251" t="s">
        <v>278</v>
      </c>
      <c r="Y32" s="251" t="s">
        <v>279</v>
      </c>
      <c r="Z32" s="249" t="s">
        <v>334</v>
      </c>
      <c r="AA32" s="251" t="s">
        <v>318</v>
      </c>
      <c r="AB32" s="251" t="s">
        <v>292</v>
      </c>
      <c r="AC32" s="251" t="s">
        <v>345</v>
      </c>
      <c r="AD32" s="249" t="s">
        <v>146</v>
      </c>
    </row>
    <row r="33" spans="1:32" x14ac:dyDescent="0.25">
      <c r="A33" t="s">
        <v>25</v>
      </c>
      <c r="G33" s="53">
        <v>9</v>
      </c>
      <c r="H33" s="249" t="s">
        <v>649</v>
      </c>
      <c r="I33" s="250" t="s">
        <v>143</v>
      </c>
      <c r="J33" s="249" t="s">
        <v>189</v>
      </c>
      <c r="K33" s="249" t="s">
        <v>146</v>
      </c>
      <c r="L33" s="249" t="s">
        <v>190</v>
      </c>
      <c r="M33" s="249" t="s">
        <v>191</v>
      </c>
      <c r="N33" s="249" t="s">
        <v>192</v>
      </c>
      <c r="O33" s="249" t="s">
        <v>193</v>
      </c>
      <c r="P33" s="249" t="s">
        <v>687</v>
      </c>
      <c r="Q33" s="249" t="s">
        <v>316</v>
      </c>
      <c r="R33" s="249" t="s">
        <v>319</v>
      </c>
      <c r="S33" s="249" t="s">
        <v>320</v>
      </c>
      <c r="T33" s="249" t="s">
        <v>321</v>
      </c>
      <c r="U33" s="249" t="s">
        <v>322</v>
      </c>
      <c r="V33" s="249" t="s">
        <v>323</v>
      </c>
      <c r="W33" s="251" t="s">
        <v>277</v>
      </c>
      <c r="X33" s="251" t="s">
        <v>278</v>
      </c>
      <c r="Y33" s="251" t="s">
        <v>324</v>
      </c>
      <c r="Z33" s="249" t="s">
        <v>91</v>
      </c>
      <c r="AA33" s="251" t="s">
        <v>325</v>
      </c>
      <c r="AB33" s="251" t="s">
        <v>326</v>
      </c>
      <c r="AC33" s="251" t="s">
        <v>346</v>
      </c>
      <c r="AD33" s="249" t="s">
        <v>146</v>
      </c>
    </row>
    <row r="34" spans="1:32" x14ac:dyDescent="0.25">
      <c r="A34" s="99">
        <v>1</v>
      </c>
      <c r="B34" s="51" t="str">
        <f>VLOOKUP(A34,A35:B41,2,FALSE)</f>
        <v>всё</v>
      </c>
      <c r="G34" s="53">
        <v>10</v>
      </c>
      <c r="H34" s="249" t="s">
        <v>650</v>
      </c>
      <c r="I34" s="250" t="s">
        <v>144</v>
      </c>
      <c r="J34" s="249" t="s">
        <v>194</v>
      </c>
      <c r="K34" s="249" t="s">
        <v>146</v>
      </c>
      <c r="L34" s="249" t="s">
        <v>195</v>
      </c>
      <c r="M34" s="249" t="s">
        <v>196</v>
      </c>
      <c r="N34" s="249" t="s">
        <v>197</v>
      </c>
      <c r="O34" s="249" t="s">
        <v>198</v>
      </c>
      <c r="P34" s="249" t="s">
        <v>688</v>
      </c>
      <c r="Q34" s="249" t="s">
        <v>327</v>
      </c>
      <c r="R34" s="249" t="s">
        <v>328</v>
      </c>
      <c r="S34" s="249" t="s">
        <v>329</v>
      </c>
      <c r="T34" s="249" t="s">
        <v>295</v>
      </c>
      <c r="U34" s="249" t="s">
        <v>330</v>
      </c>
      <c r="V34" s="249" t="s">
        <v>331</v>
      </c>
      <c r="W34" s="251" t="s">
        <v>277</v>
      </c>
      <c r="X34" s="251" t="s">
        <v>278</v>
      </c>
      <c r="Y34" s="251" t="s">
        <v>279</v>
      </c>
      <c r="Z34" s="249" t="s">
        <v>335</v>
      </c>
      <c r="AA34" s="251" t="s">
        <v>332</v>
      </c>
      <c r="AB34" s="251" t="s">
        <v>299</v>
      </c>
      <c r="AC34" s="251" t="s">
        <v>347</v>
      </c>
      <c r="AD34" s="249" t="s">
        <v>146</v>
      </c>
    </row>
    <row r="35" spans="1:32" x14ac:dyDescent="0.25">
      <c r="A35">
        <v>1</v>
      </c>
      <c r="B35" s="49" t="str">
        <f>$I$4</f>
        <v>всё</v>
      </c>
      <c r="C35" t="s">
        <v>3</v>
      </c>
      <c r="G35" s="53">
        <v>11</v>
      </c>
      <c r="H35" s="249" t="s">
        <v>651</v>
      </c>
      <c r="I35" s="252" t="s">
        <v>543</v>
      </c>
      <c r="J35" s="249" t="s">
        <v>544</v>
      </c>
      <c r="K35" s="249" t="s">
        <v>146</v>
      </c>
      <c r="L35" s="249" t="s">
        <v>545</v>
      </c>
      <c r="M35" s="249" t="s">
        <v>546</v>
      </c>
      <c r="N35" s="249" t="s">
        <v>547</v>
      </c>
      <c r="O35" s="249" t="s">
        <v>548</v>
      </c>
      <c r="P35" s="249" t="s">
        <v>689</v>
      </c>
      <c r="Q35" s="249" t="s">
        <v>316</v>
      </c>
      <c r="R35" s="249" t="s">
        <v>274</v>
      </c>
      <c r="S35" s="249" t="s">
        <v>549</v>
      </c>
      <c r="T35" s="249" t="s">
        <v>361</v>
      </c>
      <c r="U35" s="249" t="s">
        <v>550</v>
      </c>
      <c r="V35" s="249" t="s">
        <v>551</v>
      </c>
      <c r="W35" s="249" t="s">
        <v>277</v>
      </c>
      <c r="X35" s="251" t="s">
        <v>278</v>
      </c>
      <c r="Y35" s="251" t="s">
        <v>279</v>
      </c>
      <c r="Z35" s="249" t="s">
        <v>534</v>
      </c>
      <c r="AA35" s="251" t="s">
        <v>552</v>
      </c>
      <c r="AB35" s="251" t="s">
        <v>553</v>
      </c>
      <c r="AC35" s="251" t="s">
        <v>554</v>
      </c>
      <c r="AD35" s="251" t="s">
        <v>146</v>
      </c>
    </row>
    <row r="36" spans="1:32" x14ac:dyDescent="0.25">
      <c r="A36">
        <v>2</v>
      </c>
      <c r="B36" s="222">
        <f>IF($K$64=2,C36/$M$64,C36)</f>
        <v>700</v>
      </c>
      <c r="C36">
        <v>700</v>
      </c>
      <c r="G36" s="53">
        <v>12</v>
      </c>
      <c r="H36" s="249" t="s">
        <v>652</v>
      </c>
      <c r="I36" s="250" t="s">
        <v>586</v>
      </c>
      <c r="J36" s="253" t="s">
        <v>587</v>
      </c>
      <c r="K36" s="253" t="s">
        <v>146</v>
      </c>
      <c r="L36" s="253" t="s">
        <v>588</v>
      </c>
      <c r="M36" s="253" t="s">
        <v>589</v>
      </c>
      <c r="N36" s="253" t="s">
        <v>590</v>
      </c>
      <c r="O36" s="253" t="s">
        <v>591</v>
      </c>
      <c r="P36" s="249" t="s">
        <v>686</v>
      </c>
      <c r="Q36" s="253" t="s">
        <v>316</v>
      </c>
      <c r="R36" s="253" t="s">
        <v>286</v>
      </c>
      <c r="S36" s="253" t="s">
        <v>592</v>
      </c>
      <c r="T36" s="253" t="s">
        <v>361</v>
      </c>
      <c r="U36" s="249" t="s">
        <v>700</v>
      </c>
      <c r="V36" s="249" t="s">
        <v>701</v>
      </c>
      <c r="W36" s="253" t="s">
        <v>277</v>
      </c>
      <c r="X36" s="253" t="s">
        <v>278</v>
      </c>
      <c r="Y36" s="253" t="s">
        <v>279</v>
      </c>
      <c r="Z36" s="249" t="s">
        <v>574</v>
      </c>
      <c r="AA36" s="253" t="s">
        <v>593</v>
      </c>
      <c r="AB36" s="253" t="s">
        <v>594</v>
      </c>
      <c r="AC36" s="253" t="s">
        <v>595</v>
      </c>
      <c r="AD36" s="253" t="s">
        <v>146</v>
      </c>
    </row>
    <row r="37" spans="1:32" x14ac:dyDescent="0.25">
      <c r="A37">
        <v>3</v>
      </c>
      <c r="B37" s="222">
        <f>IF($K$64=2,C37/$M$64,C37)</f>
        <v>900</v>
      </c>
      <c r="C37">
        <v>900</v>
      </c>
      <c r="G37" s="53">
        <v>13</v>
      </c>
      <c r="I37" s="54"/>
      <c r="AE37" s="34"/>
      <c r="AF37" s="53"/>
    </row>
    <row r="38" spans="1:32" x14ac:dyDescent="0.25">
      <c r="A38">
        <v>4</v>
      </c>
      <c r="B38" s="222">
        <f>IF($K$64=2,C38/$M$64,C38)</f>
        <v>1220</v>
      </c>
      <c r="C38">
        <v>1220</v>
      </c>
      <c r="G38" s="53">
        <v>14</v>
      </c>
      <c r="I38" s="54"/>
    </row>
    <row r="39" spans="1:32" x14ac:dyDescent="0.25">
      <c r="A39">
        <v>5</v>
      </c>
      <c r="B39" s="222">
        <f>IF($K$64=2,C39/$M$64,C39)</f>
        <v>1500</v>
      </c>
      <c r="C39">
        <v>1500</v>
      </c>
    </row>
    <row r="40" spans="1:32" x14ac:dyDescent="0.25">
      <c r="A40">
        <v>6</v>
      </c>
      <c r="B40" s="222">
        <f>IF($K$64=2,C40/$M$64,C40)</f>
        <v>1820</v>
      </c>
      <c r="C40">
        <v>1820</v>
      </c>
    </row>
    <row r="41" spans="1:32" x14ac:dyDescent="0.25">
      <c r="A41">
        <v>7</v>
      </c>
    </row>
    <row r="42" spans="1:32" x14ac:dyDescent="0.25">
      <c r="C42" t="str">
        <f>logic!$L$4</f>
        <v>Длина</v>
      </c>
      <c r="G42" s="55" t="s">
        <v>349</v>
      </c>
    </row>
    <row r="43" spans="1:32" x14ac:dyDescent="0.25">
      <c r="H43" s="130"/>
      <c r="I43" s="130" t="s">
        <v>458</v>
      </c>
      <c r="K43" s="130" t="s">
        <v>451</v>
      </c>
      <c r="L43" s="130" t="s">
        <v>452</v>
      </c>
      <c r="M43" s="130" t="s">
        <v>453</v>
      </c>
      <c r="N43" s="130" t="s">
        <v>454</v>
      </c>
      <c r="O43" s="130" t="s">
        <v>455</v>
      </c>
      <c r="P43" s="130" t="s">
        <v>459</v>
      </c>
      <c r="Q43" s="130" t="s">
        <v>456</v>
      </c>
      <c r="R43" s="130" t="s">
        <v>461</v>
      </c>
      <c r="S43" s="130" t="s">
        <v>462</v>
      </c>
      <c r="T43" s="130" t="s">
        <v>460</v>
      </c>
      <c r="U43" s="130" t="s">
        <v>479</v>
      </c>
      <c r="W43" s="130" t="s">
        <v>480</v>
      </c>
      <c r="X43" s="130" t="s">
        <v>502</v>
      </c>
    </row>
    <row r="44" spans="1:32" x14ac:dyDescent="0.25">
      <c r="F44" s="57"/>
      <c r="G44" s="100">
        <f>G23</f>
        <v>1</v>
      </c>
      <c r="H44">
        <f>G44+1</f>
        <v>2</v>
      </c>
      <c r="I44">
        <f t="shared" ref="I44" si="23">H44+1</f>
        <v>3</v>
      </c>
      <c r="J44">
        <f t="shared" ref="J44" si="24">I44+1</f>
        <v>4</v>
      </c>
      <c r="K44">
        <f t="shared" ref="K44" si="25">J44+1</f>
        <v>5</v>
      </c>
      <c r="L44">
        <f t="shared" ref="L44" si="26">K44+1</f>
        <v>6</v>
      </c>
      <c r="M44">
        <f t="shared" ref="M44" si="27">L44+1</f>
        <v>7</v>
      </c>
      <c r="N44">
        <f t="shared" ref="N44" si="28">M44+1</f>
        <v>8</v>
      </c>
      <c r="O44">
        <f t="shared" ref="O44" si="29">N44+1</f>
        <v>9</v>
      </c>
      <c r="P44">
        <f t="shared" ref="P44" si="30">O44+1</f>
        <v>10</v>
      </c>
      <c r="Q44">
        <f t="shared" ref="Q44" si="31">P44+1</f>
        <v>11</v>
      </c>
      <c r="R44">
        <f t="shared" ref="R44" si="32">Q44+1</f>
        <v>12</v>
      </c>
      <c r="S44">
        <f t="shared" ref="S44" si="33">R44+1</f>
        <v>13</v>
      </c>
      <c r="T44">
        <f t="shared" ref="T44" si="34">S44+1</f>
        <v>14</v>
      </c>
      <c r="U44">
        <f t="shared" ref="U44" si="35">T44+1</f>
        <v>15</v>
      </c>
      <c r="V44">
        <f t="shared" ref="V44" si="36">U44+1</f>
        <v>16</v>
      </c>
      <c r="W44">
        <f t="shared" ref="W44" si="37">V44+1</f>
        <v>17</v>
      </c>
      <c r="X44">
        <f t="shared" ref="X44" si="38">W44+1</f>
        <v>18</v>
      </c>
      <c r="Y44">
        <f t="shared" ref="Y44" si="39">X44+1</f>
        <v>19</v>
      </c>
      <c r="Z44">
        <f t="shared" ref="Z44" si="40">Y44+1</f>
        <v>20</v>
      </c>
      <c r="AA44">
        <f t="shared" ref="AA44" si="41">Z44+1</f>
        <v>21</v>
      </c>
      <c r="AB44">
        <f t="shared" ref="AB44" si="42">AA44+1</f>
        <v>22</v>
      </c>
    </row>
    <row r="45" spans="1:32" x14ac:dyDescent="0.25">
      <c r="A45" s="98">
        <f>$K$64</f>
        <v>1</v>
      </c>
      <c r="B45" s="56" t="str">
        <f>VLOOKUP(A45,A46:B47,2,FALSE)</f>
        <v>W</v>
      </c>
      <c r="C45" s="56" t="str">
        <f>VLOOKUP(A45,A46:C47,3,FALSE)</f>
        <v>W</v>
      </c>
      <c r="D45" s="56">
        <f>VLOOKUP(A45,A46:D47,4,FALSE)</f>
        <v>1</v>
      </c>
      <c r="E45" s="56" t="str">
        <f>VLOOKUP(B45,B46:E47,4,FALSE)</f>
        <v>[W]</v>
      </c>
      <c r="F45" s="57"/>
      <c r="G45" s="52">
        <f>$G$4</f>
        <v>5</v>
      </c>
      <c r="H45" s="254" t="str">
        <f>VLOOKUP($G45,$G46:H59,H44)</f>
        <v>Русский</v>
      </c>
      <c r="I45" s="254" t="str">
        <f>VLOOKUP($G45,$G46:I59,I44)</f>
        <v xml:space="preserve"> Добавить в базу данных</v>
      </c>
      <c r="J45" s="254" t="str">
        <f>VLOOKUP($G45,$G46:J59,J44)</f>
        <v>Модель</v>
      </c>
      <c r="K45" s="254" t="str">
        <f>VLOOKUP($G45,$G46:K59,K44)</f>
        <v>Тип</v>
      </c>
      <c r="L45" s="254" t="str">
        <f>VLOOKUP($G45,$G46:L59,L44)&amp;" ["&amp;$O$64&amp;"]"</f>
        <v>Высота [mm] [mm]</v>
      </c>
      <c r="M45" s="254" t="str">
        <f>VLOOKUP($G45,$G46:M59,M44)&amp;" ["&amp;$O$64&amp;"]"</f>
        <v>Длина [mm] [mm]</v>
      </c>
      <c r="N45" s="254" t="str">
        <f>VLOOKUP($G45,$G46:N59,N44)</f>
        <v>Тепловая мощность</v>
      </c>
      <c r="O45" s="254" t="str">
        <f>VLOOKUP($G45,$G46:O59,O44)</f>
        <v>Код изделия</v>
      </c>
      <c r="P45" s="254" t="str">
        <f>VLOOKUP($G45,$G46:P59,P44)</f>
        <v>Примечание (макс 20 знаков)</v>
      </c>
      <c r="Q45" s="254" t="str">
        <f>VLOOKUP($G45,$G46:Q59,Q44)</f>
        <v>Отменить</v>
      </c>
      <c r="R45" s="254" t="str">
        <f>VLOOKUP($G45,$G46:R59,R44)</f>
        <v>Добавить</v>
      </c>
      <c r="S45" s="254" t="str">
        <f>VLOOKUP($G45,$G46:S59,S44)</f>
        <v>Документ не возможно закрыть в таком формате!!!</v>
      </c>
      <c r="T45" s="254" t="str">
        <f>VLOOKUP($G45,$G46:T59,T44)</f>
        <v>Запись успешно сделана</v>
      </c>
      <c r="U45" s="254" t="str">
        <f>VLOOKUP($G45,$G46:U59,U44)</f>
        <v>Смазать</v>
      </c>
      <c r="V45" s="254" t="str">
        <f>VLOOKUP($G45,$G46:V59,V44)</f>
        <v>База данных</v>
      </c>
      <c r="W45" s="254" t="str">
        <f>VLOOKUP($G45,$G46:W59,W44)</f>
        <v>Исключение позиции из базы данных</v>
      </c>
      <c r="X45" s="254" t="str">
        <f>VLOOKUP($G45,$G46:X59,X44)</f>
        <v>Сброс базы данных</v>
      </c>
      <c r="Y45" s="52">
        <f>VLOOKUP($G45,$G46:Y59,Y44)</f>
        <v>0</v>
      </c>
      <c r="Z45" s="52">
        <f>VLOOKUP($G45,$G46:Z59,Z44)</f>
        <v>0</v>
      </c>
      <c r="AA45" s="52">
        <f>VLOOKUP($G45,$G46:AA59,AA44)</f>
        <v>0</v>
      </c>
      <c r="AB45" s="52">
        <f>VLOOKUP($G45,$G46:AB59,AB44)</f>
        <v>0</v>
      </c>
    </row>
    <row r="46" spans="1:32" x14ac:dyDescent="0.25">
      <c r="A46" s="53">
        <v>1</v>
      </c>
      <c r="B46" s="53" t="s">
        <v>199</v>
      </c>
      <c r="C46" s="53" t="s">
        <v>199</v>
      </c>
      <c r="D46" s="57">
        <v>1</v>
      </c>
      <c r="E46" s="57" t="s">
        <v>336</v>
      </c>
      <c r="G46" s="53">
        <v>1</v>
      </c>
      <c r="H46" s="249" t="s">
        <v>26</v>
      </c>
      <c r="I46" s="250" t="s">
        <v>350</v>
      </c>
      <c r="J46" s="249" t="s">
        <v>274</v>
      </c>
      <c r="K46" s="249" t="s">
        <v>276</v>
      </c>
      <c r="L46" s="249" t="s">
        <v>690</v>
      </c>
      <c r="M46" s="249" t="s">
        <v>691</v>
      </c>
      <c r="N46" s="249" t="str">
        <f t="shared" ref="N46:N52" si="43">O5</f>
        <v>Tepelný výkon</v>
      </c>
      <c r="O46" s="249" t="s">
        <v>275</v>
      </c>
      <c r="P46" s="249" t="s">
        <v>351</v>
      </c>
      <c r="Q46" s="249" t="s">
        <v>352</v>
      </c>
      <c r="R46" s="249" t="s">
        <v>353</v>
      </c>
      <c r="S46" s="249" t="s">
        <v>354</v>
      </c>
      <c r="T46" s="249" t="s">
        <v>355</v>
      </c>
      <c r="U46" s="249" t="s">
        <v>356</v>
      </c>
      <c r="V46" s="251" t="s">
        <v>357</v>
      </c>
      <c r="W46" s="251" t="s">
        <v>358</v>
      </c>
      <c r="X46" s="251" t="s">
        <v>359</v>
      </c>
      <c r="Y46" s="34"/>
      <c r="Z46" s="34"/>
      <c r="AA46" s="34"/>
      <c r="AB46" s="34"/>
    </row>
    <row r="47" spans="1:32" x14ac:dyDescent="0.25">
      <c r="A47" s="53">
        <v>2</v>
      </c>
      <c r="B47" s="53" t="s">
        <v>200</v>
      </c>
      <c r="C47" s="53" t="s">
        <v>200</v>
      </c>
      <c r="D47" s="57">
        <v>3.4119999999999999</v>
      </c>
      <c r="E47" s="57" t="s">
        <v>337</v>
      </c>
      <c r="G47" s="53">
        <v>2</v>
      </c>
      <c r="H47" s="249" t="s">
        <v>610</v>
      </c>
      <c r="I47" s="250" t="s">
        <v>360</v>
      </c>
      <c r="J47" s="249" t="s">
        <v>274</v>
      </c>
      <c r="K47" s="249" t="s">
        <v>361</v>
      </c>
      <c r="L47" s="249" t="s">
        <v>692</v>
      </c>
      <c r="M47" s="249" t="s">
        <v>693</v>
      </c>
      <c r="N47" s="249" t="str">
        <f t="shared" si="43"/>
        <v>Heat output</v>
      </c>
      <c r="O47" s="249" t="s">
        <v>282</v>
      </c>
      <c r="P47" s="249" t="s">
        <v>362</v>
      </c>
      <c r="Q47" s="249" t="s">
        <v>363</v>
      </c>
      <c r="R47" s="249" t="s">
        <v>364</v>
      </c>
      <c r="S47" s="249" t="s">
        <v>365</v>
      </c>
      <c r="T47" s="249" t="s">
        <v>366</v>
      </c>
      <c r="U47" s="249" t="s">
        <v>367</v>
      </c>
      <c r="V47" s="251" t="s">
        <v>368</v>
      </c>
      <c r="W47" s="251" t="s">
        <v>369</v>
      </c>
      <c r="X47" s="251" t="s">
        <v>370</v>
      </c>
      <c r="Y47" s="34"/>
      <c r="Z47" s="34"/>
      <c r="AA47" s="34"/>
      <c r="AB47" s="34"/>
    </row>
    <row r="48" spans="1:32" x14ac:dyDescent="0.25">
      <c r="G48" s="53">
        <v>3</v>
      </c>
      <c r="H48" s="249" t="s">
        <v>611</v>
      </c>
      <c r="I48" s="250" t="s">
        <v>400</v>
      </c>
      <c r="J48" s="249" t="s">
        <v>306</v>
      </c>
      <c r="K48" s="249" t="s">
        <v>361</v>
      </c>
      <c r="L48" s="249" t="s">
        <v>694</v>
      </c>
      <c r="M48" s="249" t="s">
        <v>695</v>
      </c>
      <c r="N48" s="249" t="str">
        <f t="shared" si="43"/>
        <v>Puissance thermique</v>
      </c>
      <c r="O48" s="249" t="s">
        <v>401</v>
      </c>
      <c r="P48" s="249" t="s">
        <v>402</v>
      </c>
      <c r="Q48" s="249" t="s">
        <v>403</v>
      </c>
      <c r="R48" s="249" t="s">
        <v>404</v>
      </c>
      <c r="S48" s="249" t="s">
        <v>405</v>
      </c>
      <c r="T48" s="249" t="s">
        <v>406</v>
      </c>
      <c r="U48" s="249" t="s">
        <v>407</v>
      </c>
      <c r="V48" s="251" t="s">
        <v>408</v>
      </c>
      <c r="W48" s="251" t="s">
        <v>409</v>
      </c>
      <c r="X48" s="251" t="s">
        <v>410</v>
      </c>
      <c r="Y48" s="34"/>
      <c r="Z48" s="34"/>
      <c r="AA48" s="34"/>
      <c r="AB48" s="34"/>
    </row>
    <row r="49" spans="1:28" x14ac:dyDescent="0.25">
      <c r="G49" s="53">
        <v>4</v>
      </c>
      <c r="H49" s="249" t="s">
        <v>644</v>
      </c>
      <c r="I49" s="250" t="s">
        <v>371</v>
      </c>
      <c r="J49" s="249" t="s">
        <v>286</v>
      </c>
      <c r="K49" s="249" t="s">
        <v>276</v>
      </c>
      <c r="L49" s="249" t="s">
        <v>289</v>
      </c>
      <c r="M49" s="249" t="s">
        <v>290</v>
      </c>
      <c r="N49" s="249" t="str">
        <f t="shared" si="43"/>
        <v>Wärmeleistungen</v>
      </c>
      <c r="O49" s="249" t="s">
        <v>287</v>
      </c>
      <c r="P49" s="249" t="s">
        <v>372</v>
      </c>
      <c r="Q49" s="249" t="s">
        <v>373</v>
      </c>
      <c r="R49" s="249" t="s">
        <v>374</v>
      </c>
      <c r="S49" s="249" t="s">
        <v>375</v>
      </c>
      <c r="T49" s="249" t="s">
        <v>376</v>
      </c>
      <c r="U49" s="249" t="s">
        <v>377</v>
      </c>
      <c r="V49" s="251" t="s">
        <v>368</v>
      </c>
      <c r="W49" s="251" t="s">
        <v>378</v>
      </c>
      <c r="X49" s="251" t="s">
        <v>379</v>
      </c>
      <c r="Y49" s="34"/>
      <c r="Z49" s="34"/>
      <c r="AA49" s="34"/>
    </row>
    <row r="50" spans="1:28" x14ac:dyDescent="0.25">
      <c r="A50" s="98">
        <v>1</v>
      </c>
      <c r="B50" s="56" t="str">
        <f>VLOOKUP(A50,A51:B52,2,FALSE)</f>
        <v>нижнее снизу вниз</v>
      </c>
      <c r="G50" s="53">
        <v>5</v>
      </c>
      <c r="H50" s="259" t="s">
        <v>645</v>
      </c>
      <c r="I50" s="258" t="s">
        <v>380</v>
      </c>
      <c r="J50" s="259" t="s">
        <v>293</v>
      </c>
      <c r="K50" s="259" t="s">
        <v>295</v>
      </c>
      <c r="L50" s="259" t="s">
        <v>696</v>
      </c>
      <c r="M50" s="259" t="s">
        <v>697</v>
      </c>
      <c r="N50" s="259" t="str">
        <f t="shared" si="43"/>
        <v>Тепловая мощность</v>
      </c>
      <c r="O50" s="259" t="s">
        <v>294</v>
      </c>
      <c r="P50" s="259" t="s">
        <v>381</v>
      </c>
      <c r="Q50" s="259" t="s">
        <v>382</v>
      </c>
      <c r="R50" s="259" t="s">
        <v>383</v>
      </c>
      <c r="S50" s="259" t="s">
        <v>384</v>
      </c>
      <c r="T50" s="259" t="s">
        <v>385</v>
      </c>
      <c r="U50" s="259" t="s">
        <v>386</v>
      </c>
      <c r="V50" s="260" t="s">
        <v>387</v>
      </c>
      <c r="W50" s="260" t="s">
        <v>388</v>
      </c>
      <c r="X50" s="260" t="s">
        <v>389</v>
      </c>
      <c r="Y50" s="34"/>
      <c r="Z50" s="34"/>
      <c r="AA50" s="34"/>
      <c r="AB50" s="34"/>
    </row>
    <row r="51" spans="1:28" x14ac:dyDescent="0.25">
      <c r="A51" s="53">
        <v>1</v>
      </c>
      <c r="B51" s="53" t="str">
        <f>Z4</f>
        <v>нижнее снизу вниз</v>
      </c>
      <c r="G51" s="53">
        <v>6</v>
      </c>
      <c r="H51" s="249" t="s">
        <v>646</v>
      </c>
      <c r="I51" s="250" t="s">
        <v>390</v>
      </c>
      <c r="J51" s="249" t="s">
        <v>274</v>
      </c>
      <c r="K51" s="249" t="s">
        <v>276</v>
      </c>
      <c r="L51" s="249" t="s">
        <v>302</v>
      </c>
      <c r="M51" s="249" t="s">
        <v>303</v>
      </c>
      <c r="N51" s="249" t="str">
        <f t="shared" si="43"/>
        <v xml:space="preserve">Wydajność cieplna </v>
      </c>
      <c r="O51" s="249" t="s">
        <v>301</v>
      </c>
      <c r="P51" s="249" t="s">
        <v>391</v>
      </c>
      <c r="Q51" s="249" t="s">
        <v>392</v>
      </c>
      <c r="R51" s="249" t="s">
        <v>393</v>
      </c>
      <c r="S51" s="249" t="s">
        <v>394</v>
      </c>
      <c r="T51" s="249" t="s">
        <v>395</v>
      </c>
      <c r="U51" s="249" t="s">
        <v>396</v>
      </c>
      <c r="V51" s="251" t="s">
        <v>397</v>
      </c>
      <c r="W51" s="251" t="s">
        <v>398</v>
      </c>
      <c r="X51" s="251" t="s">
        <v>399</v>
      </c>
      <c r="Y51" s="34"/>
      <c r="Z51" s="34"/>
      <c r="AA51" s="34"/>
      <c r="AB51" s="34"/>
    </row>
    <row r="52" spans="1:28" x14ac:dyDescent="0.25">
      <c r="A52" s="53">
        <v>2</v>
      </c>
      <c r="B52" s="53" t="str">
        <f>AA4</f>
        <v>двустороннее сверху вниз</v>
      </c>
      <c r="G52" s="53">
        <v>7</v>
      </c>
      <c r="H52" s="249" t="s">
        <v>647</v>
      </c>
      <c r="I52" s="250" t="s">
        <v>411</v>
      </c>
      <c r="J52" s="249" t="s">
        <v>286</v>
      </c>
      <c r="K52" s="249" t="s">
        <v>311</v>
      </c>
      <c r="L52" s="249" t="s">
        <v>312</v>
      </c>
      <c r="M52" s="249" t="s">
        <v>313</v>
      </c>
      <c r="N52" s="249" t="str">
        <f t="shared" si="43"/>
        <v>Hőteljesítmény</v>
      </c>
      <c r="O52" s="249" t="s">
        <v>412</v>
      </c>
      <c r="P52" s="249" t="s">
        <v>413</v>
      </c>
      <c r="Q52" s="249" t="s">
        <v>414</v>
      </c>
      <c r="R52" s="249" t="s">
        <v>415</v>
      </c>
      <c r="S52" s="249" t="s">
        <v>416</v>
      </c>
      <c r="T52" s="249" t="s">
        <v>417</v>
      </c>
      <c r="U52" s="249" t="s">
        <v>418</v>
      </c>
      <c r="V52" s="251" t="s">
        <v>419</v>
      </c>
      <c r="W52" s="251" t="s">
        <v>420</v>
      </c>
      <c r="X52" s="251" t="s">
        <v>421</v>
      </c>
      <c r="Y52" s="34"/>
      <c r="Z52" s="34"/>
      <c r="AA52" s="34"/>
      <c r="AB52" s="34"/>
    </row>
    <row r="53" spans="1:28" x14ac:dyDescent="0.25">
      <c r="G53" s="53">
        <v>8</v>
      </c>
      <c r="H53" s="255" t="s">
        <v>648</v>
      </c>
      <c r="I53" s="250" t="s">
        <v>422</v>
      </c>
      <c r="J53" s="249" t="s">
        <v>274</v>
      </c>
      <c r="K53" s="249" t="s">
        <v>276</v>
      </c>
      <c r="L53" s="249" t="s">
        <v>698</v>
      </c>
      <c r="M53" s="249" t="s">
        <v>699</v>
      </c>
      <c r="N53" s="249" t="s">
        <v>90</v>
      </c>
      <c r="O53" s="249" t="s">
        <v>317</v>
      </c>
      <c r="P53" s="249" t="s">
        <v>423</v>
      </c>
      <c r="Q53" s="249" t="s">
        <v>424</v>
      </c>
      <c r="R53" s="249" t="s">
        <v>425</v>
      </c>
      <c r="S53" s="249" t="s">
        <v>702</v>
      </c>
      <c r="T53" s="249" t="s">
        <v>426</v>
      </c>
      <c r="U53" s="249" t="s">
        <v>427</v>
      </c>
      <c r="V53" s="251" t="s">
        <v>428</v>
      </c>
      <c r="W53" s="251" t="s">
        <v>429</v>
      </c>
      <c r="X53" s="251" t="s">
        <v>430</v>
      </c>
      <c r="Y53" s="34"/>
      <c r="Z53" s="34"/>
      <c r="AA53" s="34"/>
    </row>
    <row r="54" spans="1:28" x14ac:dyDescent="0.25">
      <c r="G54" s="53">
        <v>9</v>
      </c>
      <c r="H54" s="249" t="s">
        <v>649</v>
      </c>
      <c r="I54" s="250" t="s">
        <v>431</v>
      </c>
      <c r="J54" s="249" t="s">
        <v>274</v>
      </c>
      <c r="K54" s="249" t="s">
        <v>321</v>
      </c>
      <c r="L54" s="249" t="s">
        <v>322</v>
      </c>
      <c r="M54" s="249" t="s">
        <v>323</v>
      </c>
      <c r="N54" s="249" t="str">
        <f>O13</f>
        <v>Putere termică</v>
      </c>
      <c r="O54" s="249" t="s">
        <v>320</v>
      </c>
      <c r="P54" s="249" t="s">
        <v>432</v>
      </c>
      <c r="Q54" s="249" t="s">
        <v>433</v>
      </c>
      <c r="R54" s="249" t="s">
        <v>434</v>
      </c>
      <c r="S54" s="249" t="s">
        <v>435</v>
      </c>
      <c r="T54" s="249" t="s">
        <v>436</v>
      </c>
      <c r="U54" s="249" t="s">
        <v>437</v>
      </c>
      <c r="V54" s="251" t="s">
        <v>438</v>
      </c>
      <c r="W54" s="251" t="s">
        <v>439</v>
      </c>
      <c r="X54" s="251" t="s">
        <v>440</v>
      </c>
      <c r="Y54" s="34"/>
      <c r="Z54" s="34"/>
      <c r="AA54" s="34"/>
      <c r="AB54" s="34"/>
    </row>
    <row r="55" spans="1:28" x14ac:dyDescent="0.25">
      <c r="G55" s="53">
        <v>10</v>
      </c>
      <c r="H55" s="249" t="s">
        <v>650</v>
      </c>
      <c r="I55" s="250" t="s">
        <v>441</v>
      </c>
      <c r="J55" s="249" t="s">
        <v>328</v>
      </c>
      <c r="K55" s="249" t="s">
        <v>295</v>
      </c>
      <c r="L55" s="249" t="s">
        <v>330</v>
      </c>
      <c r="M55" s="249" t="s">
        <v>331</v>
      </c>
      <c r="N55" s="249" t="str">
        <f>O14</f>
        <v xml:space="preserve">Топлинна мощност </v>
      </c>
      <c r="O55" s="249" t="s">
        <v>329</v>
      </c>
      <c r="P55" s="249" t="s">
        <v>442</v>
      </c>
      <c r="Q55" s="249" t="s">
        <v>443</v>
      </c>
      <c r="R55" s="249" t="s">
        <v>444</v>
      </c>
      <c r="S55" s="249" t="s">
        <v>445</v>
      </c>
      <c r="T55" s="249" t="s">
        <v>446</v>
      </c>
      <c r="U55" s="249" t="s">
        <v>447</v>
      </c>
      <c r="V55" s="251" t="s">
        <v>448</v>
      </c>
      <c r="W55" s="251" t="s">
        <v>449</v>
      </c>
      <c r="X55" s="251" t="s">
        <v>450</v>
      </c>
      <c r="Y55" s="34"/>
      <c r="Z55" s="34"/>
      <c r="AA55" s="34"/>
      <c r="AB55" s="34"/>
    </row>
    <row r="56" spans="1:28" x14ac:dyDescent="0.25">
      <c r="B56"/>
      <c r="F56" s="87"/>
      <c r="G56" s="53">
        <v>11</v>
      </c>
      <c r="H56" s="249" t="s">
        <v>651</v>
      </c>
      <c r="I56" s="252" t="s">
        <v>555</v>
      </c>
      <c r="J56" s="249" t="s">
        <v>274</v>
      </c>
      <c r="K56" s="249" t="s">
        <v>361</v>
      </c>
      <c r="L56" s="249" t="s">
        <v>550</v>
      </c>
      <c r="M56" s="249" t="s">
        <v>551</v>
      </c>
      <c r="N56" s="249" t="s">
        <v>534</v>
      </c>
      <c r="O56" s="249" t="s">
        <v>549</v>
      </c>
      <c r="P56" s="249" t="s">
        <v>556</v>
      </c>
      <c r="Q56" s="249" t="s">
        <v>557</v>
      </c>
      <c r="R56" s="249" t="s">
        <v>558</v>
      </c>
      <c r="S56" s="249" t="s">
        <v>559</v>
      </c>
      <c r="T56" s="249" t="s">
        <v>560</v>
      </c>
      <c r="U56" s="249" t="s">
        <v>561</v>
      </c>
      <c r="V56" s="251" t="s">
        <v>368</v>
      </c>
      <c r="W56" s="251" t="s">
        <v>562</v>
      </c>
      <c r="X56" s="251" t="s">
        <v>563</v>
      </c>
      <c r="Y56" s="34"/>
      <c r="AB56" s="34"/>
    </row>
    <row r="57" spans="1:28" x14ac:dyDescent="0.25">
      <c r="A57" s="273" t="s">
        <v>224</v>
      </c>
      <c r="B57" s="273"/>
      <c r="C57" s="273"/>
      <c r="D57" s="273"/>
      <c r="E57" s="273"/>
      <c r="F57" s="87"/>
      <c r="G57" s="53">
        <v>12</v>
      </c>
      <c r="H57" s="249" t="s">
        <v>652</v>
      </c>
      <c r="I57" s="250" t="s">
        <v>596</v>
      </c>
      <c r="J57" s="251" t="s">
        <v>286</v>
      </c>
      <c r="K57" s="251" t="s">
        <v>361</v>
      </c>
      <c r="L57" s="249" t="s">
        <v>700</v>
      </c>
      <c r="M57" s="249" t="s">
        <v>701</v>
      </c>
      <c r="N57" s="251" t="s">
        <v>574</v>
      </c>
      <c r="O57" s="251" t="s">
        <v>592</v>
      </c>
      <c r="P57" s="251" t="s">
        <v>597</v>
      </c>
      <c r="Q57" s="251" t="s">
        <v>598</v>
      </c>
      <c r="R57" s="251" t="s">
        <v>599</v>
      </c>
      <c r="S57" s="249" t="s">
        <v>703</v>
      </c>
      <c r="T57" s="251" t="s">
        <v>600</v>
      </c>
      <c r="U57" s="251" t="s">
        <v>427</v>
      </c>
      <c r="V57" s="251" t="s">
        <v>368</v>
      </c>
      <c r="W57" s="251" t="s">
        <v>601</v>
      </c>
      <c r="X57" s="251" t="s">
        <v>602</v>
      </c>
      <c r="AB57" s="34"/>
    </row>
    <row r="58" spans="1:28" x14ac:dyDescent="0.25">
      <c r="A58" s="87" t="s">
        <v>225</v>
      </c>
      <c r="B58" s="274" t="s">
        <v>226</v>
      </c>
      <c r="C58" s="274"/>
      <c r="D58" s="87" t="s">
        <v>227</v>
      </c>
      <c r="E58" s="87" t="s">
        <v>228</v>
      </c>
      <c r="F58" s="53"/>
      <c r="G58" s="53">
        <v>13</v>
      </c>
      <c r="H58" s="253"/>
      <c r="I58" s="253"/>
      <c r="J58" s="253"/>
      <c r="K58" s="253"/>
      <c r="L58" s="253"/>
      <c r="M58" s="253"/>
      <c r="N58" s="253"/>
      <c r="O58" s="253"/>
      <c r="P58" s="253"/>
      <c r="Q58" s="253"/>
      <c r="R58" s="253"/>
      <c r="S58" s="253"/>
      <c r="T58" s="253"/>
      <c r="U58" s="253"/>
      <c r="V58" s="253"/>
      <c r="W58" s="253"/>
      <c r="X58" s="253"/>
    </row>
    <row r="59" spans="1:28" x14ac:dyDescent="0.25">
      <c r="A59" s="87" t="s">
        <v>234</v>
      </c>
      <c r="B59" s="88" t="s">
        <v>249</v>
      </c>
      <c r="C59" s="53" t="s">
        <v>230</v>
      </c>
      <c r="D59" s="88" t="s">
        <v>608</v>
      </c>
      <c r="E59" s="87" t="s">
        <v>231</v>
      </c>
      <c r="F59" s="87"/>
      <c r="G59" s="53">
        <v>14</v>
      </c>
    </row>
    <row r="60" spans="1:28" x14ac:dyDescent="0.25">
      <c r="A60" s="89"/>
      <c r="B60" s="89"/>
      <c r="C60" s="89"/>
      <c r="D60" s="53"/>
      <c r="E60" s="53"/>
      <c r="F60" s="53"/>
      <c r="G60" s="53"/>
    </row>
    <row r="61" spans="1:28" x14ac:dyDescent="0.25">
      <c r="A61" s="87" t="s">
        <v>232</v>
      </c>
      <c r="B61" s="87">
        <v>1</v>
      </c>
      <c r="C61" s="88" t="s">
        <v>233</v>
      </c>
      <c r="D61" s="53"/>
      <c r="E61" s="87" t="s">
        <v>231</v>
      </c>
      <c r="F61" s="53"/>
      <c r="G61" s="53"/>
    </row>
    <row r="62" spans="1:28" x14ac:dyDescent="0.25">
      <c r="A62" s="87" t="s">
        <v>234</v>
      </c>
      <c r="B62" s="87">
        <v>2</v>
      </c>
      <c r="C62" s="88" t="s">
        <v>230</v>
      </c>
      <c r="D62" s="53"/>
      <c r="E62" s="53"/>
      <c r="F62" s="53"/>
      <c r="G62" s="53"/>
    </row>
    <row r="63" spans="1:28" x14ac:dyDescent="0.25">
      <c r="A63" s="87" t="s">
        <v>235</v>
      </c>
      <c r="B63" s="87">
        <v>3</v>
      </c>
      <c r="C63" s="88" t="s">
        <v>236</v>
      </c>
      <c r="D63" s="53"/>
      <c r="E63" s="53"/>
      <c r="F63" s="53"/>
      <c r="G63" s="53"/>
    </row>
    <row r="64" spans="1:28" x14ac:dyDescent="0.25">
      <c r="A64" s="87" t="s">
        <v>237</v>
      </c>
      <c r="B64" s="87">
        <v>4</v>
      </c>
      <c r="C64" s="88" t="s">
        <v>238</v>
      </c>
      <c r="D64" s="53"/>
      <c r="E64" s="53"/>
      <c r="F64" s="53"/>
      <c r="G64" s="53"/>
      <c r="K64" s="56">
        <v>1</v>
      </c>
      <c r="L64" s="257" t="str">
        <f>VLOOKUP(K64,K65:L66,2,FALSE)</f>
        <v>Метрическая система</v>
      </c>
      <c r="M64" s="257">
        <f>VLOOKUP(K64,K65:M66,3,FALSE)</f>
        <v>1</v>
      </c>
      <c r="N64" s="257" t="str">
        <f>VLOOKUP(L64,L65:N66,3,FALSE)</f>
        <v>Celsius</v>
      </c>
      <c r="O64" s="257" t="str">
        <f>VLOOKUP(M64,M65:O66,3,FALSE)</f>
        <v>mm</v>
      </c>
    </row>
    <row r="65" spans="1:15" x14ac:dyDescent="0.25">
      <c r="A65" s="87" t="s">
        <v>239</v>
      </c>
      <c r="B65" s="87">
        <v>5</v>
      </c>
      <c r="C65" s="88" t="s">
        <v>240</v>
      </c>
      <c r="D65" s="53"/>
      <c r="F65" s="53"/>
      <c r="G65" s="53"/>
      <c r="K65" s="53">
        <v>1</v>
      </c>
      <c r="L65" s="249" t="str">
        <f>$AF$4</f>
        <v>Метрическая система</v>
      </c>
      <c r="M65" s="249">
        <v>1</v>
      </c>
      <c r="N65" s="253" t="s">
        <v>618</v>
      </c>
      <c r="O65" s="253" t="s">
        <v>620</v>
      </c>
    </row>
    <row r="66" spans="1:15" x14ac:dyDescent="0.25">
      <c r="A66" s="87" t="s">
        <v>241</v>
      </c>
      <c r="B66" s="87"/>
      <c r="C66" s="88" t="s">
        <v>242</v>
      </c>
      <c r="D66" s="53"/>
      <c r="E66" s="53" t="str">
        <f>A59&amp;" OTT "&amp;B59&amp;"."&amp;C59&amp;"-"&amp;MID(D59,1,2)&amp;"/"&amp;MID(D59,6,2)&amp;" "&amp;E59</f>
        <v>CZ OTT 1.02-01/17 M</v>
      </c>
      <c r="F66" s="53"/>
      <c r="G66" s="53"/>
      <c r="K66" s="53">
        <v>2</v>
      </c>
      <c r="L66" s="249" t="str">
        <f>$AG$4</f>
        <v>Имперская система</v>
      </c>
      <c r="M66" s="249">
        <v>25.4</v>
      </c>
      <c r="N66" s="253" t="s">
        <v>619</v>
      </c>
      <c r="O66" s="253" t="s">
        <v>621</v>
      </c>
    </row>
    <row r="67" spans="1:15" x14ac:dyDescent="0.25">
      <c r="A67" s="87" t="s">
        <v>217</v>
      </c>
      <c r="B67" s="87"/>
      <c r="C67" s="88" t="s">
        <v>243</v>
      </c>
      <c r="D67" s="53"/>
      <c r="E67" s="53"/>
      <c r="F67" s="53"/>
      <c r="G67" s="53"/>
    </row>
    <row r="68" spans="1:15" x14ac:dyDescent="0.25">
      <c r="A68" s="87" t="s">
        <v>244</v>
      </c>
      <c r="B68" s="87"/>
      <c r="C68" s="88" t="s">
        <v>245</v>
      </c>
      <c r="D68" s="53"/>
      <c r="E68" s="53"/>
      <c r="F68" s="53"/>
      <c r="G68" s="53"/>
    </row>
    <row r="69" spans="1:15" x14ac:dyDescent="0.25">
      <c r="A69" s="87" t="s">
        <v>246</v>
      </c>
      <c r="B69" s="87"/>
      <c r="C69" s="88" t="s">
        <v>247</v>
      </c>
      <c r="D69" s="53"/>
      <c r="E69" s="53"/>
      <c r="G69" s="53"/>
    </row>
    <row r="70" spans="1:15" x14ac:dyDescent="0.25">
      <c r="A70" s="87" t="s">
        <v>229</v>
      </c>
      <c r="B70" s="87"/>
      <c r="C70" s="88" t="s">
        <v>248</v>
      </c>
      <c r="D70" s="53"/>
      <c r="E70" s="53"/>
      <c r="G70" s="53"/>
    </row>
    <row r="74" spans="1:15" x14ac:dyDescent="0.25">
      <c r="A74" s="138" t="s">
        <v>472</v>
      </c>
      <c r="B74" s="137" t="str">
        <f>VLOOKUP(model_zdroj,A75:B90,2,FALSE)</f>
        <v>KORALUX LINEAR MAX - M</v>
      </c>
      <c r="C74" s="137"/>
      <c r="D74" s="137"/>
      <c r="F74" s="138" t="s">
        <v>20</v>
      </c>
      <c r="G74" s="137"/>
      <c r="H74" s="137"/>
      <c r="I74" s="137" t="str">
        <f>VLOOKUP(F74,F75:I89,4,FALSE)</f>
        <v>KSC</v>
      </c>
    </row>
    <row r="75" spans="1:15" x14ac:dyDescent="0.25">
      <c r="A75" t="s">
        <v>607</v>
      </c>
      <c r="B75" s="136" t="s">
        <v>20</v>
      </c>
      <c r="F75" s="136" t="s">
        <v>20</v>
      </c>
      <c r="I75" t="str">
        <f t="shared" ref="I75:I90" si="44">A75</f>
        <v>KSC</v>
      </c>
    </row>
    <row r="76" spans="1:15" x14ac:dyDescent="0.25">
      <c r="A76" t="s">
        <v>463</v>
      </c>
      <c r="B76" s="136" t="s">
        <v>12</v>
      </c>
      <c r="F76" s="136" t="s">
        <v>12</v>
      </c>
      <c r="I76" t="str">
        <f t="shared" si="44"/>
        <v>KLC</v>
      </c>
    </row>
    <row r="77" spans="1:15" x14ac:dyDescent="0.25">
      <c r="A77" t="s">
        <v>464</v>
      </c>
      <c r="B77" s="136" t="s">
        <v>13</v>
      </c>
      <c r="F77" s="136" t="s">
        <v>13</v>
      </c>
      <c r="I77" t="str">
        <f t="shared" si="44"/>
        <v>KLCM</v>
      </c>
    </row>
    <row r="78" spans="1:15" x14ac:dyDescent="0.25">
      <c r="A78" t="s">
        <v>465</v>
      </c>
      <c r="B78" s="136" t="s">
        <v>14</v>
      </c>
      <c r="F78" s="136" t="s">
        <v>14</v>
      </c>
      <c r="I78" t="str">
        <f t="shared" si="44"/>
        <v>KRC</v>
      </c>
    </row>
    <row r="79" spans="1:15" x14ac:dyDescent="0.25">
      <c r="A79" t="s">
        <v>466</v>
      </c>
      <c r="B79" s="136" t="s">
        <v>15</v>
      </c>
      <c r="F79" s="136" t="s">
        <v>15</v>
      </c>
      <c r="I79" t="str">
        <f t="shared" si="44"/>
        <v>KRCM</v>
      </c>
    </row>
    <row r="80" spans="1:15" x14ac:dyDescent="0.25">
      <c r="A80" t="s">
        <v>467</v>
      </c>
      <c r="B80" s="136" t="s">
        <v>16</v>
      </c>
      <c r="F80" s="136" t="s">
        <v>16</v>
      </c>
      <c r="I80" t="str">
        <f t="shared" si="44"/>
        <v>KLT</v>
      </c>
    </row>
    <row r="81" spans="1:9" x14ac:dyDescent="0.25">
      <c r="A81" t="s">
        <v>468</v>
      </c>
      <c r="B81" s="136" t="s">
        <v>17</v>
      </c>
      <c r="F81" s="136" t="s">
        <v>17</v>
      </c>
      <c r="I81" t="str">
        <f t="shared" si="44"/>
        <v>KLTM</v>
      </c>
    </row>
    <row r="82" spans="1:9" x14ac:dyDescent="0.25">
      <c r="A82" t="s">
        <v>469</v>
      </c>
      <c r="B82" s="136" t="s">
        <v>18</v>
      </c>
      <c r="F82" s="136" t="s">
        <v>18</v>
      </c>
      <c r="I82" t="str">
        <f t="shared" si="44"/>
        <v>KRT</v>
      </c>
    </row>
    <row r="83" spans="1:9" x14ac:dyDescent="0.25">
      <c r="A83" t="s">
        <v>470</v>
      </c>
      <c r="B83" s="136" t="s">
        <v>19</v>
      </c>
      <c r="F83" s="136" t="s">
        <v>19</v>
      </c>
      <c r="I83" t="str">
        <f t="shared" si="44"/>
        <v>KRTM</v>
      </c>
    </row>
    <row r="84" spans="1:9" x14ac:dyDescent="0.25">
      <c r="A84" t="s">
        <v>471</v>
      </c>
      <c r="B84" s="136" t="s">
        <v>266</v>
      </c>
      <c r="F84" s="136" t="s">
        <v>266</v>
      </c>
      <c r="I84" t="str">
        <f t="shared" si="44"/>
        <v>KLM</v>
      </c>
    </row>
    <row r="85" spans="1:9" x14ac:dyDescent="0.25">
      <c r="A85" t="s">
        <v>472</v>
      </c>
      <c r="B85" s="136" t="s">
        <v>268</v>
      </c>
      <c r="F85" s="136" t="s">
        <v>268</v>
      </c>
      <c r="I85" t="str">
        <f t="shared" si="44"/>
        <v>KLMM</v>
      </c>
    </row>
    <row r="86" spans="1:9" x14ac:dyDescent="0.25">
      <c r="A86" t="s">
        <v>473</v>
      </c>
      <c r="B86" s="136" t="s">
        <v>267</v>
      </c>
      <c r="F86" s="136" t="s">
        <v>267</v>
      </c>
      <c r="I86" t="str">
        <f t="shared" si="44"/>
        <v>KRM</v>
      </c>
    </row>
    <row r="87" spans="1:9" x14ac:dyDescent="0.25">
      <c r="A87" t="s">
        <v>474</v>
      </c>
      <c r="B87" s="136" t="s">
        <v>269</v>
      </c>
      <c r="F87" s="136" t="s">
        <v>269</v>
      </c>
      <c r="I87" t="str">
        <f t="shared" si="44"/>
        <v>KRMM</v>
      </c>
    </row>
    <row r="88" spans="1:9" x14ac:dyDescent="0.25">
      <c r="A88" t="s">
        <v>475</v>
      </c>
      <c r="B88" s="136" t="s">
        <v>270</v>
      </c>
      <c r="F88" s="136" t="s">
        <v>270</v>
      </c>
      <c r="I88" t="str">
        <f t="shared" si="44"/>
        <v>KLXM</v>
      </c>
    </row>
    <row r="89" spans="1:9" x14ac:dyDescent="0.25">
      <c r="A89" t="s">
        <v>476</v>
      </c>
      <c r="B89" s="136" t="s">
        <v>271</v>
      </c>
      <c r="F89" s="136" t="s">
        <v>271</v>
      </c>
      <c r="I89" t="str">
        <f t="shared" si="44"/>
        <v>KRXM</v>
      </c>
    </row>
    <row r="90" spans="1:9" x14ac:dyDescent="0.25">
      <c r="A90" t="s">
        <v>622</v>
      </c>
      <c r="B90" s="136" t="s">
        <v>609</v>
      </c>
      <c r="F90" s="136" t="s">
        <v>609</v>
      </c>
      <c r="I90" t="str">
        <f t="shared" si="44"/>
        <v>KLN</v>
      </c>
    </row>
    <row r="97" spans="1:5" x14ac:dyDescent="0.25">
      <c r="D97" t="s">
        <v>509</v>
      </c>
    </row>
    <row r="98" spans="1:5" x14ac:dyDescent="0.25">
      <c r="A98" s="98">
        <v>1</v>
      </c>
      <c r="B98" s="56" t="str">
        <f>VLOOKUP(A98,A99:B100,2,FALSE)</f>
        <v>LINEAR</v>
      </c>
      <c r="D98" s="98">
        <v>2</v>
      </c>
      <c r="E98" s="56" t="str">
        <f>VLOOKUP(D98,D99:E100,2,FALSE)</f>
        <v>NF</v>
      </c>
    </row>
    <row r="99" spans="1:5" x14ac:dyDescent="0.25">
      <c r="A99" s="53">
        <v>1</v>
      </c>
      <c r="B99" s="53" t="s">
        <v>483</v>
      </c>
      <c r="D99">
        <v>1</v>
      </c>
      <c r="E99" t="s">
        <v>504</v>
      </c>
    </row>
    <row r="100" spans="1:5" x14ac:dyDescent="0.25">
      <c r="A100" s="53">
        <v>2</v>
      </c>
      <c r="B100" s="53" t="s">
        <v>484</v>
      </c>
      <c r="D100">
        <v>2</v>
      </c>
      <c r="E100" t="s">
        <v>505</v>
      </c>
    </row>
    <row r="104" spans="1:5" x14ac:dyDescent="0.25">
      <c r="A104" s="98">
        <v>1</v>
      </c>
      <c r="B104" s="56" t="str">
        <f>VLOOKUP(A104,A105:B106,2,FALSE)</f>
        <v>КРАСКА</v>
      </c>
    </row>
    <row r="105" spans="1:5" x14ac:dyDescent="0.25">
      <c r="A105" s="53">
        <v>1</v>
      </c>
      <c r="B105" s="53" t="str">
        <f>AD4</f>
        <v>КРАСКА</v>
      </c>
    </row>
    <row r="106" spans="1:5" x14ac:dyDescent="0.25">
      <c r="A106" s="53">
        <v>2</v>
      </c>
      <c r="B106" s="53" t="str">
        <f>AE4</f>
        <v>ХРОМ</v>
      </c>
    </row>
  </sheetData>
  <sortState xmlns:xlrd2="http://schemas.microsoft.com/office/spreadsheetml/2017/richdata2" ref="B10:B14">
    <sortCondition ref="B9"/>
  </sortState>
  <mergeCells count="2">
    <mergeCell ref="A57:E57"/>
    <mergeCell ref="B58:C58"/>
  </mergeCells>
  <pageMargins left="0.7" right="0.7" top="0.78740157499999996" bottom="0.78740157499999996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3076" r:id="rId4" name="ComboBox4">
          <controlPr defaultSize="0" autoLine="0" linkedCell="E59" listFillRange="E61:E62" r:id="rId5">
            <anchor moveWithCells="1">
              <from>
                <xdr:col>4</xdr:col>
                <xdr:colOff>0</xdr:colOff>
                <xdr:row>58</xdr:row>
                <xdr:rowOff>0</xdr:rowOff>
              </from>
              <to>
                <xdr:col>5</xdr:col>
                <xdr:colOff>0</xdr:colOff>
                <xdr:row>59</xdr:row>
                <xdr:rowOff>28575</xdr:rowOff>
              </to>
            </anchor>
          </controlPr>
        </control>
      </mc:Choice>
      <mc:Fallback>
        <control shapeId="3076" r:id="rId4" name="ComboBox4"/>
      </mc:Fallback>
    </mc:AlternateContent>
    <mc:AlternateContent xmlns:mc="http://schemas.openxmlformats.org/markup-compatibility/2006">
      <mc:Choice Requires="x14">
        <control shapeId="3073" r:id="rId6" name="ComboBox1">
          <controlPr defaultSize="0" autoLine="0" autoPict="0" linkedCell="A59" listFillRange="A61:A70" r:id="rId7">
            <anchor moveWithCells="1">
              <from>
                <xdr:col>0</xdr:col>
                <xdr:colOff>0</xdr:colOff>
                <xdr:row>58</xdr:row>
                <xdr:rowOff>0</xdr:rowOff>
              </from>
              <to>
                <xdr:col>1</xdr:col>
                <xdr:colOff>142875</xdr:colOff>
                <xdr:row>59</xdr:row>
                <xdr:rowOff>38100</xdr:rowOff>
              </to>
            </anchor>
          </controlPr>
        </control>
      </mc:Choice>
      <mc:Fallback>
        <control shapeId="3073" r:id="rId6" name="ComboBox1"/>
      </mc:Fallback>
    </mc:AlternateContent>
    <mc:AlternateContent xmlns:mc="http://schemas.openxmlformats.org/markup-compatibility/2006">
      <mc:Choice Requires="x14">
        <control shapeId="3074" r:id="rId8" name="ComboBox2">
          <controlPr defaultSize="0" autoLine="0" autoPict="0" linkedCell="B59" listFillRange="B61:B70" r:id="rId9">
            <anchor moveWithCells="1">
              <from>
                <xdr:col>1</xdr:col>
                <xdr:colOff>0</xdr:colOff>
                <xdr:row>58</xdr:row>
                <xdr:rowOff>0</xdr:rowOff>
              </from>
              <to>
                <xdr:col>1</xdr:col>
                <xdr:colOff>609600</xdr:colOff>
                <xdr:row>59</xdr:row>
                <xdr:rowOff>38100</xdr:rowOff>
              </to>
            </anchor>
          </controlPr>
        </control>
      </mc:Choice>
      <mc:Fallback>
        <control shapeId="3074" r:id="rId8" name="ComboBox2"/>
      </mc:Fallback>
    </mc:AlternateContent>
    <mc:AlternateContent xmlns:mc="http://schemas.openxmlformats.org/markup-compatibility/2006">
      <mc:Choice Requires="x14">
        <control shapeId="3075" r:id="rId10" name="ComboBox3">
          <controlPr defaultSize="0" autoLine="0" autoPict="0" linkedCell="C59" listFillRange="C61:C70" r:id="rId11">
            <anchor moveWithCells="1">
              <from>
                <xdr:col>2</xdr:col>
                <xdr:colOff>0</xdr:colOff>
                <xdr:row>58</xdr:row>
                <xdr:rowOff>0</xdr:rowOff>
              </from>
              <to>
                <xdr:col>3</xdr:col>
                <xdr:colOff>0</xdr:colOff>
                <xdr:row>59</xdr:row>
                <xdr:rowOff>28575</xdr:rowOff>
              </to>
            </anchor>
          </controlPr>
        </control>
      </mc:Choice>
      <mc:Fallback>
        <control shapeId="3075" r:id="rId10" name="ComboBox3"/>
      </mc:Fallback>
    </mc:AlternateContent>
    <mc:AlternateContent xmlns:mc="http://schemas.openxmlformats.org/markup-compatibility/2006">
      <mc:Choice Requires="x14">
        <control shapeId="3078" r:id="rId12" name="Drop Down 6">
          <controlPr defaultSize="0" autoLine="0" autoPict="0">
            <anchor moveWithCells="1">
              <from>
                <xdr:col>3</xdr:col>
                <xdr:colOff>123825</xdr:colOff>
                <xdr:row>94</xdr:row>
                <xdr:rowOff>9525</xdr:rowOff>
              </from>
              <to>
                <xdr:col>5</xdr:col>
                <xdr:colOff>9525</xdr:colOff>
                <xdr:row>95</xdr:row>
                <xdr:rowOff>104775</xdr:rowOff>
              </to>
            </anchor>
          </controlPr>
        </control>
      </mc:Choice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DEBB59318CA614196D44B45E8C90063" ma:contentTypeVersion="0" ma:contentTypeDescription="Vytvořit nový dokument" ma:contentTypeScope="" ma:versionID="9d3d5daa45c4a6a2c81b3d0d801706f1">
  <xsd:schema xmlns:xsd="http://www.w3.org/2001/XMLSchema" xmlns:p="http://schemas.microsoft.com/office/2006/metadata/properties" targetNamespace="http://schemas.microsoft.com/office/2006/metadata/properties" ma:root="true" ma:fieldsID="44e93fdc4ac2772f323b4d23b6324ea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 ma:readOnly="true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FD36B7-AC99-458E-AAAA-B668A87EEB5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1CCE2CE-9907-4697-BDC3-A8C6950EB41F}">
  <ds:schemaRefs>
    <ds:schemaRef ds:uri="http://schemas.microsoft.com/office/2006/documentManagement/types"/>
    <ds:schemaRef ds:uri="http://purl.org/dc/terms/"/>
    <ds:schemaRef ds:uri="http://schemas.microsoft.com/office/2006/metadata/properties"/>
    <ds:schemaRef ds:uri="http://purl.org/dc/dcmitype/"/>
    <ds:schemaRef ds:uri="http://purl.org/dc/elements/1.1/"/>
    <ds:schemaRef ds:uri="http://www.w3.org/XML/1998/namespace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3ADAA110-7ED6-4E62-A3EF-F30C69324C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50</vt:i4>
      </vt:variant>
    </vt:vector>
  </HeadingPairs>
  <TitlesOfParts>
    <vt:vector size="55" baseType="lpstr">
      <vt:lpstr>KORADO</vt:lpstr>
      <vt:lpstr>Databáze</vt:lpstr>
      <vt:lpstr>výkony</vt:lpstr>
      <vt:lpstr>vstupy</vt:lpstr>
      <vt:lpstr>logic</vt:lpstr>
      <vt:lpstr>barva</vt:lpstr>
      <vt:lpstr>cmdNelze</vt:lpstr>
      <vt:lpstr>cmdOK</vt:lpstr>
      <vt:lpstr>cmdVlozit</vt:lpstr>
      <vt:lpstr>cmdVymazat</vt:lpstr>
      <vt:lpstr>cmdZrusit</vt:lpstr>
      <vt:lpstr>Chyba_dat</vt:lpstr>
      <vt:lpstr>jv</vt:lpstr>
      <vt:lpstr>lblDelkaPopis</vt:lpstr>
      <vt:lpstr>lblExportDatabaze</vt:lpstr>
      <vt:lpstr>lblKodArtikluPopis</vt:lpstr>
      <vt:lpstr>lblNadpis</vt:lpstr>
      <vt:lpstr>lblPoznamka</vt:lpstr>
      <vt:lpstr>lblPridatdoDB</vt:lpstr>
      <vt:lpstr>lblTypPopis</vt:lpstr>
      <vt:lpstr>lblVykonPopis</vt:lpstr>
      <vt:lpstr>lblVymaz</vt:lpstr>
      <vt:lpstr>lblVymazDatabaze</vt:lpstr>
      <vt:lpstr>lblVyskaPopis</vt:lpstr>
      <vt:lpstr>lblZapisProveden</vt:lpstr>
      <vt:lpstr>lblZobrazitDatabazi</vt:lpstr>
      <vt:lpstr>lblZpet</vt:lpstr>
      <vt:lpstr>lblZpusobPripojeni</vt:lpstr>
      <vt:lpstr>lblZpusobPripojeniPopis</vt:lpstr>
      <vt:lpstr>linear_chrom_konec</vt:lpstr>
      <vt:lpstr>linear_chrom_zacatek</vt:lpstr>
      <vt:lpstr>linear_konec</vt:lpstr>
      <vt:lpstr>linear_zacatek</vt:lpstr>
      <vt:lpstr>model_cil</vt:lpstr>
      <vt:lpstr>model_zdroj</vt:lpstr>
      <vt:lpstr>Databáze!Názvy_tisku</vt:lpstr>
      <vt:lpstr>KORADO!Názvy_tisku</vt:lpstr>
      <vt:lpstr>Databáze!Oblast_tisku</vt:lpstr>
      <vt:lpstr>KORADO!Oblast_tisku</vt:lpstr>
      <vt:lpstr>vstupy!Oblast_tisku</vt:lpstr>
      <vt:lpstr>výkony!Oblast_tisku</vt:lpstr>
      <vt:lpstr>OK</vt:lpstr>
      <vt:lpstr>pripojeni</vt:lpstr>
      <vt:lpstr>provedeni</vt:lpstr>
      <vt:lpstr>rondo_chrom_konec</vt:lpstr>
      <vt:lpstr>rondo_chrom_zacatek</vt:lpstr>
      <vt:lpstr>rondo_konec</vt:lpstr>
      <vt:lpstr>rondo_zacatek</vt:lpstr>
      <vt:lpstr>t_1</vt:lpstr>
      <vt:lpstr>t_2</vt:lpstr>
      <vt:lpstr>t_i</vt:lpstr>
      <vt:lpstr>tb_kod</vt:lpstr>
      <vt:lpstr>tb_vykon</vt:lpstr>
      <vt:lpstr>typ_cil</vt:lpstr>
      <vt:lpstr>typ_zdroj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Číž Ondřej</dc:creator>
  <cp:lastModifiedBy>Chlumecká Veronika</cp:lastModifiedBy>
  <cp:lastPrinted>2024-09-20T11:50:47Z</cp:lastPrinted>
  <dcterms:created xsi:type="dcterms:W3CDTF">2021-03-09T10:25:31Z</dcterms:created>
  <dcterms:modified xsi:type="dcterms:W3CDTF">2024-11-20T13:26:41Z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0x0101005DEBB59318CA614196D44B45E8C90063</vt:lpwstr>
  </property>
</Properties>
</file>